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queryTables/queryTable59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charts/chart4.xml" ContentType="application/vnd.openxmlformats-officedocument.drawingml.chart+xml"/>
  <Override PartName="/xl/activeX/activeX66.xml" ContentType="application/vnd.ms-office.activeX+xml"/>
  <Override PartName="/xl/activeX/activeX77.xml" ContentType="application/vnd.ms-office.activeX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drawings/drawing2.xml" ContentType="application/vnd.openxmlformats-officedocument.drawing+xml"/>
  <Override PartName="/xl/activeX/activeX91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queryTables/queryTable8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charts/colors1.xml" ContentType="application/vnd.ms-office.chartcolorstyle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queryTables/queryTable67.xml" ContentType="application/vnd.openxmlformats-officedocument.spreadsheetml.queryTable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queryTables/queryTable56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calcChain.xml" ContentType="application/vnd.openxmlformats-officedocument.spreadsheetml.calcChain+xml"/>
  <Override PartName="/xl/activeX/activeX67.bin" ContentType="application/vnd.ms-office.activeX"/>
  <Override PartName="/xl/charts/chart13.xml" ContentType="application/vnd.openxmlformats-officedocument.drawingml.chart+xml"/>
  <Override PartName="/xl/queryTables/queryTable5.xml" ContentType="application/vnd.openxmlformats-officedocument.spreadsheetml.queryTable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39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activeX/activeX93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queryTables/queryTable31.xml" ContentType="application/vnd.openxmlformats-officedocument.spreadsheetml.queryTable+xml"/>
  <Override PartName="/xl/queryTables/queryTable2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queryTables/queryTable6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charts/chart7.xml" ContentType="application/vnd.openxmlformats-officedocument.drawingml.chart+xml"/>
  <Override PartName="/xl/activeX/activeX53.bin" ContentType="application/vnd.ms-office.activeX"/>
  <Override PartName="/xl/activeX/activeX69.xml" ContentType="application/vnd.ms-office.activeX+xml"/>
  <Override PartName="/xl/charts/chart10.xml" ContentType="application/vnd.openxmlformats-officedocument.drawingml.chart+xml"/>
  <Override PartName="/xl/queryTables/queryTable2.xml" ContentType="application/vnd.openxmlformats-officedocument.spreadsheetml.queryTable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queryTables/queryTable58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charts/style1.xml" ContentType="application/vnd.ms-office.chartsty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queryTables/queryTable7.xml" ContentType="application/vnd.openxmlformats-officedocument.spreadsheetml.queryTable+xml"/>
  <Override PartName="/xl/activeX/activeX87.bin" ContentType="application/vnd.ms-office.activeX"/>
  <Override PartName="/xl/queryTables/queryTable10.xml" ContentType="application/vnd.openxmlformats-officedocument.spreadsheetml.queryTable+xml"/>
  <Override PartName="/xl/activeX/activeX98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worksheets/sheet17.xml" ContentType="application/vnd.openxmlformats-officedocument.spreadsheetml.worksheet+xml"/>
  <Override PartName="/xl/activeX/activeX18.bin" ContentType="application/vnd.ms-office.activeX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charts/chart11.xml" ContentType="application/vnd.openxmlformats-officedocument.drawingml.chart+xml"/>
  <Override PartName="/xl/queryTables/queryTable3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queryTables/queryTable33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queryTables/queryTable11.xml" ContentType="application/vnd.openxmlformats-officedocument.spreadsheetml.queryTable+xml"/>
  <Override PartName="/xl/activeX/activeX100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charts/chart12.xml" ContentType="application/vnd.openxmlformats-officedocument.drawingml.chart+xml"/>
  <Override PartName="/xl/queryTables/queryTable4.xml" ContentType="application/vnd.openxmlformats-officedocument.spreadsheetml.queryTable+xml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queryTables/queryTable49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activeX/activeX67.xml" ContentType="application/vnd.ms-office.activeX+xml"/>
  <Override PartName="/xl/activeX/activeX80.bin" ContentType="application/vnd.ms-office.activeX"/>
  <Override PartName="/xl/queryTables/queryTable3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queryTables/queryTable52.xml" ContentType="application/vnd.openxmlformats-officedocument.spreadsheetml.queryTable+xml"/>
  <Override PartName="/xl/activeX/activeX23.xml" ContentType="application/vnd.ms-office.activeX+xml"/>
  <Override PartName="/xl/activeX/activeX70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queryTables/queryTable1.xml" ContentType="application/vnd.openxmlformats-officedocument.spreadsheetml.queryTable+xml"/>
  <Override PartName="/xl/activeX/activeX97.xml" ContentType="application/vnd.ms-office.activeX+xml"/>
  <Override PartName="/xl/queryTables/queryTable68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activeX/activeX64.xml" ContentType="application/vnd.ms-office.activeX+xml"/>
  <Override PartName="/xl/activeX/activeX75.xml" ContentType="application/vnd.ms-office.activeX+xml"/>
  <Override PartName="/xl/queryTables/queryTable35.xml" ContentType="application/vnd.openxmlformats-officedocument.spreadsheetml.queryTable+xml"/>
  <Override PartName="/xl/activeX/activeX101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activeX/activeX102.xml" ContentType="application/vnd.ms-office.activeX+xml"/>
  <Override PartName="/xl/queryTables/queryTable6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charts/chart14.xml" ContentType="application/vnd.openxmlformats-officedocument.drawingml.chart+xml"/>
  <Override PartName="/xl/queryTables/queryTable6.xml" ContentType="application/vnd.openxmlformats-officedocument.spreadsheetml.queryTable+xml"/>
  <Override PartName="/xl/activeX/activeX46.bin" ContentType="application/vnd.ms-office.activeX"/>
  <Override PartName="/xl/activeX/activeX9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33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評比系統" sheetId="2" r:id="rId4"/>
    <sheet name="篩股系統" sheetId="5" r:id="rId5"/>
    <sheet name="財報PK" sheetId="7" r:id="rId6"/>
    <sheet name="營收搶先報" sheetId="13" r:id="rId7"/>
    <sheet name="PSR" sheetId="3" r:id="rId8"/>
    <sheet name="RPS" sheetId="17" r:id="rId9"/>
    <sheet name="葛林公式" sheetId="19" r:id="rId10"/>
    <sheet name="重訊追蹤" sheetId="16" r:id="rId11"/>
    <sheet name="篩穀結果" sheetId="6" r:id="rId12"/>
    <sheet name="季財報" sheetId="18" r:id="rId13"/>
    <sheet name="PK" sheetId="8" r:id="rId14"/>
    <sheet name="PKA" sheetId="9" r:id="rId15"/>
    <sheet name="PKB" sheetId="10" r:id="rId16"/>
    <sheet name="PKC" sheetId="11" r:id="rId17"/>
    <sheet name="福邦" sheetId="14" r:id="rId18"/>
    <sheet name="IS" sheetId="20" r:id="rId19"/>
    <sheet name="BS" sheetId="21" r:id="rId20"/>
  </sheets>
  <definedNames>
    <definedName name="_xlnm._FilterDatabase" localSheetId="7" hidden="1">PSR!$A$1:$K$1481</definedName>
    <definedName name="_xlnm._FilterDatabase" localSheetId="9" hidden="1">葛林公式!$A$1:$M$1520</definedName>
    <definedName name="_xlnm._FilterDatabase" localSheetId="11" hidden="1">篩穀結果!$A$1:$AC$1544</definedName>
    <definedName name="_xlnm._FilterDatabase" localSheetId="6" hidden="1">營收搶先報!$A$1:$K$722</definedName>
    <definedName name="EE" localSheetId="2">紅綠燈!#REF!</definedName>
    <definedName name="外部資料_1" localSheetId="14">PKA!#REF!</definedName>
    <definedName name="外部資料_1" localSheetId="15">PKB!#REF!</definedName>
    <definedName name="外部資料_1" localSheetId="16">PKC!#REF!</definedName>
    <definedName name="外部資料_1" localSheetId="7">PSR!#REF!</definedName>
    <definedName name="外部資料_1" localSheetId="2">紅綠燈!#REF!</definedName>
    <definedName name="外部資料_1" localSheetId="3">評比系統!#REF!</definedName>
    <definedName name="外部資料_1" localSheetId="9">葛林公式!$M$1:$W$61</definedName>
    <definedName name="外部資料_1" localSheetId="17">福邦!#REF!</definedName>
    <definedName name="外部資料_1" localSheetId="4">篩股系統!#REF!</definedName>
    <definedName name="外部資料_1" localSheetId="6">營收搶先報!#REF!</definedName>
    <definedName name="外部資料_10" localSheetId="14">PKA!#REF!</definedName>
    <definedName name="外部資料_10" localSheetId="15">PKB!#REF!</definedName>
    <definedName name="外部資料_10" localSheetId="16">PKC!#REF!</definedName>
    <definedName name="外部資料_10" localSheetId="7">PSR!#REF!</definedName>
    <definedName name="外部資料_10" localSheetId="2">紅綠燈!#REF!</definedName>
    <definedName name="外部資料_10" localSheetId="3">評比系統!#REF!</definedName>
    <definedName name="外部資料_10" localSheetId="9">葛林公式!$M$1:$W$61</definedName>
    <definedName name="外部資料_10" localSheetId="17">福邦!#REF!</definedName>
    <definedName name="外部資料_10" localSheetId="4">篩股系統!#REF!</definedName>
    <definedName name="外部資料_10" localSheetId="6">營收搶先報!#REF!</definedName>
    <definedName name="外部資料_100" localSheetId="14">PKA!#REF!</definedName>
    <definedName name="外部資料_100" localSheetId="15">PKB!#REF!</definedName>
    <definedName name="外部資料_100" localSheetId="16">PKC!#REF!</definedName>
    <definedName name="外部資料_100" localSheetId="7">PSR!#REF!</definedName>
    <definedName name="外部資料_100" localSheetId="2">紅綠燈!#REF!</definedName>
    <definedName name="外部資料_100" localSheetId="3">評比系統!#REF!</definedName>
    <definedName name="外部資料_100" localSheetId="17">福邦!#REF!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4">PKA!#REF!</definedName>
    <definedName name="外部資料_101" localSheetId="15">PKB!#REF!</definedName>
    <definedName name="外部資料_101" localSheetId="16">PKC!#REF!</definedName>
    <definedName name="外部資料_101" localSheetId="7">PSR!#REF!</definedName>
    <definedName name="外部資料_101" localSheetId="3">評比系統!$T$1:$T$3</definedName>
    <definedName name="外部資料_101" localSheetId="17">福邦!#REF!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4">PKA!#REF!</definedName>
    <definedName name="外部資料_102" localSheetId="15">PKB!#REF!</definedName>
    <definedName name="外部資料_102" localSheetId="16">PKC!#REF!</definedName>
    <definedName name="外部資料_102" localSheetId="7">PSR!#REF!</definedName>
    <definedName name="外部資料_102" localSheetId="3">評比系統!$T$1:$T$3</definedName>
    <definedName name="外部資料_102" localSheetId="17">福邦!#REF!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4">PKA!#REF!</definedName>
    <definedName name="外部資料_103" localSheetId="15">PKB!#REF!</definedName>
    <definedName name="外部資料_103" localSheetId="16">PKC!#REF!</definedName>
    <definedName name="外部資料_103" localSheetId="7">PSR!#REF!</definedName>
    <definedName name="外部資料_103" localSheetId="3">評比系統!$T$1:$T$3</definedName>
    <definedName name="外部資料_103" localSheetId="17">福邦!#REF!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4">PKA!#REF!</definedName>
    <definedName name="外部資料_104" localSheetId="15">PKB!#REF!</definedName>
    <definedName name="外部資料_104" localSheetId="16">PKC!#REF!</definedName>
    <definedName name="外部資料_104" localSheetId="7">PSR!#REF!</definedName>
    <definedName name="外部資料_104" localSheetId="3">評比系統!$T$1:$T$3</definedName>
    <definedName name="外部資料_104" localSheetId="17">福邦!#REF!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4">PKA!#REF!</definedName>
    <definedName name="外部資料_105" localSheetId="15">PKB!#REF!</definedName>
    <definedName name="外部資料_105" localSheetId="16">PKC!#REF!</definedName>
    <definedName name="外部資料_105" localSheetId="7">PSR!#REF!</definedName>
    <definedName name="外部資料_105" localSheetId="3">評比系統!$T$1:$T$3</definedName>
    <definedName name="外部資料_105" localSheetId="17">福邦!#REF!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4">PKA!#REF!</definedName>
    <definedName name="外部資料_106" localSheetId="15">PKB!#REF!</definedName>
    <definedName name="外部資料_106" localSheetId="16">PKC!#REF!</definedName>
    <definedName name="外部資料_106" localSheetId="7">PSR!#REF!</definedName>
    <definedName name="外部資料_106" localSheetId="3">評比系統!$T$1:$T$3</definedName>
    <definedName name="外部資料_106" localSheetId="17">福邦!#REF!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4">PKA!#REF!</definedName>
    <definedName name="外部資料_107" localSheetId="15">PKB!#REF!</definedName>
    <definedName name="外部資料_107" localSheetId="16">PKC!#REF!</definedName>
    <definedName name="外部資料_107" localSheetId="7">PSR!#REF!</definedName>
    <definedName name="外部資料_107" localSheetId="3">評比系統!$T$1:$T$3</definedName>
    <definedName name="外部資料_107" localSheetId="17">福邦!#REF!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4">PKA!#REF!</definedName>
    <definedName name="外部資料_108" localSheetId="15">PKB!#REF!</definedName>
    <definedName name="外部資料_108" localSheetId="16">PKC!#REF!</definedName>
    <definedName name="外部資料_108" localSheetId="7">PSR!#REF!</definedName>
    <definedName name="外部資料_108" localSheetId="3">評比系統!$T$1:$T$3</definedName>
    <definedName name="外部資料_108" localSheetId="17">福邦!#REF!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4">PKA!#REF!</definedName>
    <definedName name="外部資料_109" localSheetId="15">PKB!#REF!</definedName>
    <definedName name="外部資料_109" localSheetId="16">PKC!#REF!</definedName>
    <definedName name="外部資料_109" localSheetId="7">PSR!#REF!</definedName>
    <definedName name="外部資料_109" localSheetId="3">評比系統!$T$1:$T$3</definedName>
    <definedName name="外部資料_109" localSheetId="17">福邦!#REF!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4">PKA!#REF!</definedName>
    <definedName name="外部資料_11" localSheetId="15">PKB!#REF!</definedName>
    <definedName name="外部資料_11" localSheetId="16">PKC!#REF!</definedName>
    <definedName name="外部資料_11" localSheetId="7">PSR!#REF!</definedName>
    <definedName name="外部資料_11" localSheetId="2">紅綠燈!#REF!</definedName>
    <definedName name="外部資料_11" localSheetId="3">評比系統!#REF!</definedName>
    <definedName name="外部資料_11" localSheetId="9">葛林公式!$M$1:$W$61</definedName>
    <definedName name="外部資料_11" localSheetId="17">福邦!#REF!</definedName>
    <definedName name="外部資料_11" localSheetId="4">篩股系統!#REF!</definedName>
    <definedName name="外部資料_11" localSheetId="6">營收搶先報!#REF!</definedName>
    <definedName name="外部資料_110" localSheetId="14">PKA!#REF!</definedName>
    <definedName name="外部資料_110" localSheetId="15">PKB!#REF!</definedName>
    <definedName name="外部資料_110" localSheetId="16">PKC!#REF!</definedName>
    <definedName name="外部資料_110" localSheetId="7">PSR!#REF!</definedName>
    <definedName name="外部資料_110" localSheetId="3">評比系統!$T$1:$T$3</definedName>
    <definedName name="外部資料_110" localSheetId="17">福邦!#REF!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4">PKA!#REF!</definedName>
    <definedName name="外部資料_111" localSheetId="15">PKB!#REF!</definedName>
    <definedName name="外部資料_111" localSheetId="16">PKC!#REF!</definedName>
    <definedName name="外部資料_111" localSheetId="7">PSR!#REF!</definedName>
    <definedName name="外部資料_111" localSheetId="3">評比系統!$T$1:$T$3</definedName>
    <definedName name="外部資料_111" localSheetId="17">福邦!#REF!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4">PKA!#REF!</definedName>
    <definedName name="外部資料_112" localSheetId="15">PKB!#REF!</definedName>
    <definedName name="外部資料_112" localSheetId="16">PKC!#REF!</definedName>
    <definedName name="外部資料_112" localSheetId="7">PSR!#REF!</definedName>
    <definedName name="外部資料_112" localSheetId="3">評比系統!$T$1:$T$3</definedName>
    <definedName name="外部資料_112" localSheetId="17">福邦!#REF!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4">PKA!#REF!</definedName>
    <definedName name="外部資料_113" localSheetId="15">PKB!#REF!</definedName>
    <definedName name="外部資料_113" localSheetId="16">PKC!#REF!</definedName>
    <definedName name="外部資料_113" localSheetId="7">PSR!#REF!</definedName>
    <definedName name="外部資料_113" localSheetId="3">評比系統!$T$1:$T$3</definedName>
    <definedName name="外部資料_113" localSheetId="17">福邦!#REF!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4">PKA!#REF!</definedName>
    <definedName name="外部資料_114" localSheetId="15">PKB!#REF!</definedName>
    <definedName name="外部資料_114" localSheetId="16">PKC!#REF!</definedName>
    <definedName name="外部資料_114" localSheetId="7">PSR!#REF!</definedName>
    <definedName name="外部資料_114" localSheetId="3">評比系統!$T$1:$T$3</definedName>
    <definedName name="外部資料_114" localSheetId="17">福邦!#REF!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4">PKA!#REF!</definedName>
    <definedName name="外部資料_115" localSheetId="15">PKB!#REF!</definedName>
    <definedName name="外部資料_115" localSheetId="16">PKC!#REF!</definedName>
    <definedName name="外部資料_115" localSheetId="7">PSR!#REF!</definedName>
    <definedName name="外部資料_115" localSheetId="3">評比系統!$T$1:$T$3</definedName>
    <definedName name="外部資料_115" localSheetId="17">福邦!#REF!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4">PKA!#REF!</definedName>
    <definedName name="外部資料_116" localSheetId="15">PKB!#REF!</definedName>
    <definedName name="外部資料_116" localSheetId="16">PKC!#REF!</definedName>
    <definedName name="外部資料_116" localSheetId="7">PSR!#REF!</definedName>
    <definedName name="外部資料_116" localSheetId="3">評比系統!$T$1:$T$3</definedName>
    <definedName name="外部資料_116" localSheetId="17">福邦!#REF!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4">PKA!#REF!</definedName>
    <definedName name="外部資料_117" localSheetId="15">PKB!#REF!</definedName>
    <definedName name="外部資料_117" localSheetId="16">PKC!#REF!</definedName>
    <definedName name="外部資料_117" localSheetId="7">PSR!#REF!</definedName>
    <definedName name="外部資料_117" localSheetId="3">評比系統!$T$1:$T$3</definedName>
    <definedName name="外部資料_117" localSheetId="17">福邦!#REF!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4">PKA!#REF!</definedName>
    <definedName name="外部資料_118" localSheetId="15">PKB!#REF!</definedName>
    <definedName name="外部資料_118" localSheetId="16">PKC!#REF!</definedName>
    <definedName name="外部資料_118" localSheetId="7">PSR!#REF!</definedName>
    <definedName name="外部資料_118" localSheetId="3">評比系統!$T$1:$T$3</definedName>
    <definedName name="外部資料_118" localSheetId="17">福邦!#REF!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4">PKA!#REF!</definedName>
    <definedName name="外部資料_119" localSheetId="15">PKB!#REF!</definedName>
    <definedName name="外部資料_119" localSheetId="16">PKC!#REF!</definedName>
    <definedName name="外部資料_119" localSheetId="7">PSR!#REF!</definedName>
    <definedName name="外部資料_119" localSheetId="3">評比系統!$T$1:$T$3</definedName>
    <definedName name="外部資料_119" localSheetId="17">福邦!#REF!</definedName>
    <definedName name="外部資料_119" localSheetId="4">篩股系統!#REF!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4">PKA!#REF!</definedName>
    <definedName name="外部資料_12" localSheetId="15">PKB!#REF!</definedName>
    <definedName name="外部資料_12" localSheetId="16">PKC!#REF!</definedName>
    <definedName name="外部資料_12" localSheetId="7">PSR!#REF!</definedName>
    <definedName name="外部資料_12" localSheetId="2">紅綠燈!#REF!</definedName>
    <definedName name="外部資料_12" localSheetId="3">評比系統!#REF!</definedName>
    <definedName name="外部資料_12" localSheetId="9">葛林公式!$M$1:$W$61</definedName>
    <definedName name="外部資料_12" localSheetId="17">福邦!#REF!</definedName>
    <definedName name="外部資料_12" localSheetId="4">篩股系統!#REF!</definedName>
    <definedName name="外部資料_12" localSheetId="6">營收搶先報!#REF!</definedName>
    <definedName name="外部資料_120" localSheetId="14">PKA!#REF!</definedName>
    <definedName name="外部資料_120" localSheetId="15">PKB!#REF!</definedName>
    <definedName name="外部資料_120" localSheetId="16">PKC!#REF!</definedName>
    <definedName name="外部資料_120" localSheetId="7">PSR!#REF!</definedName>
    <definedName name="外部資料_120" localSheetId="3">評比系統!$T$1:$T$3</definedName>
    <definedName name="外部資料_120" localSheetId="17">福邦!#REF!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4">PKA!#REF!</definedName>
    <definedName name="外部資料_121" localSheetId="15">PKB!#REF!</definedName>
    <definedName name="外部資料_121" localSheetId="16">PKC!#REF!</definedName>
    <definedName name="外部資料_121" localSheetId="7">PSR!#REF!</definedName>
    <definedName name="外部資料_121" localSheetId="3">評比系統!$T$1:$T$3</definedName>
    <definedName name="外部資料_121" localSheetId="17">福邦!#REF!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4">PKA!#REF!</definedName>
    <definedName name="外部資料_122" localSheetId="15">PKB!#REF!</definedName>
    <definedName name="外部資料_122" localSheetId="16">PKC!#REF!</definedName>
    <definedName name="外部資料_122" localSheetId="7">PSR!#REF!</definedName>
    <definedName name="外部資料_122" localSheetId="3">評比系統!$T$1:$T$3</definedName>
    <definedName name="外部資料_122" localSheetId="17">福邦!#REF!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4">PKA!#REF!</definedName>
    <definedName name="外部資料_123" localSheetId="15">PKB!#REF!</definedName>
    <definedName name="外部資料_123" localSheetId="16">PKC!#REF!</definedName>
    <definedName name="外部資料_123" localSheetId="7">PSR!#REF!</definedName>
    <definedName name="外部資料_123" localSheetId="3">評比系統!$T$1:$T$3</definedName>
    <definedName name="外部資料_123" localSheetId="17">福邦!#REF!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4">PKA!#REF!</definedName>
    <definedName name="外部資料_124" localSheetId="15">PKB!#REF!</definedName>
    <definedName name="外部資料_124" localSheetId="16">PKC!#REF!</definedName>
    <definedName name="外部資料_124" localSheetId="7">PSR!#REF!</definedName>
    <definedName name="外部資料_124" localSheetId="3">評比系統!$T$1:$T$3</definedName>
    <definedName name="外部資料_124" localSheetId="17">福邦!#REF!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4">PKA!#REF!</definedName>
    <definedName name="外部資料_125" localSheetId="15">PKB!#REF!</definedName>
    <definedName name="外部資料_125" localSheetId="16">PKC!#REF!</definedName>
    <definedName name="外部資料_125" localSheetId="7">PSR!#REF!</definedName>
    <definedName name="外部資料_125" localSheetId="3">評比系統!$T$1:$T$3</definedName>
    <definedName name="外部資料_125" localSheetId="17">福邦!#REF!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4">PKA!#REF!</definedName>
    <definedName name="外部資料_126" localSheetId="15">PKB!#REF!</definedName>
    <definedName name="外部資料_126" localSheetId="16">PKC!#REF!</definedName>
    <definedName name="外部資料_126" localSheetId="7">PSR!#REF!</definedName>
    <definedName name="外部資料_126" localSheetId="3">評比系統!$T$1:$T$3</definedName>
    <definedName name="外部資料_126" localSheetId="17">福邦!#REF!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4">PKA!#REF!</definedName>
    <definedName name="外部資料_127" localSheetId="15">PKB!#REF!</definedName>
    <definedName name="外部資料_127" localSheetId="16">PKC!#REF!</definedName>
    <definedName name="外部資料_127" localSheetId="7">PSR!#REF!</definedName>
    <definedName name="外部資料_127" localSheetId="3">評比系統!$T$1:$T$3</definedName>
    <definedName name="外部資料_127" localSheetId="17">福邦!#REF!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4">PKA!#REF!</definedName>
    <definedName name="外部資料_128" localSheetId="15">PKB!#REF!</definedName>
    <definedName name="外部資料_128" localSheetId="16">PKC!#REF!</definedName>
    <definedName name="外部資料_128" localSheetId="7">PSR!#REF!</definedName>
    <definedName name="外部資料_128" localSheetId="3">評比系統!$T$1:$T$3</definedName>
    <definedName name="外部資料_128" localSheetId="17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4">PKA!#REF!</definedName>
    <definedName name="外部資料_129" localSheetId="15">PKB!#REF!</definedName>
    <definedName name="外部資料_129" localSheetId="16">PKC!#REF!</definedName>
    <definedName name="外部資料_129" localSheetId="7">PSR!#REF!</definedName>
    <definedName name="外部資料_129" localSheetId="3">評比系統!$T$1:$T$3</definedName>
    <definedName name="外部資料_129" localSheetId="17">福邦!#REF!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4">PKA!#REF!</definedName>
    <definedName name="外部資料_13" localSheetId="15">PKB!#REF!</definedName>
    <definedName name="外部資料_13" localSheetId="16">PKC!#REF!</definedName>
    <definedName name="外部資料_13" localSheetId="7">PSR!#REF!</definedName>
    <definedName name="外部資料_13" localSheetId="2">紅綠燈!#REF!</definedName>
    <definedName name="外部資料_13" localSheetId="3">評比系統!#REF!</definedName>
    <definedName name="外部資料_13" localSheetId="9">葛林公式!$M$1:$W$61</definedName>
    <definedName name="外部資料_13" localSheetId="17">福邦!#REF!</definedName>
    <definedName name="外部資料_13" localSheetId="4">篩股系統!#REF!</definedName>
    <definedName name="外部資料_13" localSheetId="6">營收搶先報!#REF!</definedName>
    <definedName name="外部資料_130" localSheetId="14">PKA!#REF!</definedName>
    <definedName name="外部資料_130" localSheetId="15">PKB!#REF!</definedName>
    <definedName name="外部資料_130" localSheetId="16">PKC!#REF!</definedName>
    <definedName name="外部資料_130" localSheetId="7">PSR!#REF!</definedName>
    <definedName name="外部資料_130" localSheetId="3">評比系統!$T$1:$T$3</definedName>
    <definedName name="外部資料_130" localSheetId="17">福邦!#REF!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4">PKA!#REF!</definedName>
    <definedName name="外部資料_131" localSheetId="15">PKB!#REF!</definedName>
    <definedName name="外部資料_131" localSheetId="16">PKC!#REF!</definedName>
    <definedName name="外部資料_131" localSheetId="7">PSR!#REF!</definedName>
    <definedName name="外部資料_131" localSheetId="3">評比系統!$T$1:$T$3</definedName>
    <definedName name="外部資料_131" localSheetId="17">福邦!#REF!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4">PKA!#REF!</definedName>
    <definedName name="外部資料_132" localSheetId="15">PKB!#REF!</definedName>
    <definedName name="外部資料_132" localSheetId="16">PKC!#REF!</definedName>
    <definedName name="外部資料_132" localSheetId="7">PSR!#REF!</definedName>
    <definedName name="外部資料_132" localSheetId="3">評比系統!$T$1:$T$3</definedName>
    <definedName name="外部資料_132" localSheetId="17">福邦!#REF!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4">PKA!#REF!</definedName>
    <definedName name="外部資料_133" localSheetId="15">PKB!#REF!</definedName>
    <definedName name="外部資料_133" localSheetId="16">PKC!#REF!</definedName>
    <definedName name="外部資料_133" localSheetId="7">PSR!#REF!</definedName>
    <definedName name="外部資料_133" localSheetId="3">評比系統!$T$1:$T$3</definedName>
    <definedName name="外部資料_133" localSheetId="17">福邦!#REF!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4">PKA!#REF!</definedName>
    <definedName name="外部資料_134" localSheetId="15">PKB!#REF!</definedName>
    <definedName name="外部資料_134" localSheetId="16">PKC!#REF!</definedName>
    <definedName name="外部資料_134" localSheetId="7">PSR!#REF!</definedName>
    <definedName name="外部資料_134" localSheetId="3">評比系統!$T$1:$T$3</definedName>
    <definedName name="外部資料_134" localSheetId="17">福邦!#REF!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4">PKA!#REF!</definedName>
    <definedName name="外部資料_135" localSheetId="15">PKB!#REF!</definedName>
    <definedName name="外部資料_135" localSheetId="16">PKC!#REF!</definedName>
    <definedName name="外部資料_135" localSheetId="7">PSR!#REF!</definedName>
    <definedName name="外部資料_135" localSheetId="3">評比系統!$T$1:$T$3</definedName>
    <definedName name="外部資料_135" localSheetId="17">福邦!#REF!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4">PKA!#REF!</definedName>
    <definedName name="外部資料_136" localSheetId="15">PKB!#REF!</definedName>
    <definedName name="外部資料_136" localSheetId="16">PKC!#REF!</definedName>
    <definedName name="外部資料_136" localSheetId="7">PSR!#REF!</definedName>
    <definedName name="外部資料_136" localSheetId="3">評比系統!$T$1:$T$3</definedName>
    <definedName name="外部資料_136" localSheetId="17">福邦!#REF!</definedName>
    <definedName name="外部資料_1360" localSheetId="2">紅綠燈!#REF!</definedName>
    <definedName name="外部資料_1360" localSheetId="4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4">PKA!#REF!</definedName>
    <definedName name="外部資料_137" localSheetId="15">PKB!#REF!</definedName>
    <definedName name="外部資料_137" localSheetId="16">PKC!#REF!</definedName>
    <definedName name="外部資料_137" localSheetId="7">PSR!#REF!</definedName>
    <definedName name="外部資料_137" localSheetId="3">評比系統!$T$1:$T$3</definedName>
    <definedName name="外部資料_137" localSheetId="17">福邦!#REF!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4">PKA!#REF!</definedName>
    <definedName name="外部資料_138" localSheetId="15">PKB!#REF!</definedName>
    <definedName name="外部資料_138" localSheetId="16">PKC!#REF!</definedName>
    <definedName name="外部資料_138" localSheetId="7">PSR!#REF!</definedName>
    <definedName name="外部資料_138" localSheetId="3">評比系統!$T$1:$T$3</definedName>
    <definedName name="外部資料_138" localSheetId="17">福邦!#REF!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4">PKA!#REF!</definedName>
    <definedName name="外部資料_139" localSheetId="15">PKB!#REF!</definedName>
    <definedName name="外部資料_139" localSheetId="16">PKC!#REF!</definedName>
    <definedName name="外部資料_139" localSheetId="7">PSR!#REF!</definedName>
    <definedName name="外部資料_139" localSheetId="3">評比系統!$T$1:$T$3</definedName>
    <definedName name="外部資料_139" localSheetId="17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4">PKA!#REF!</definedName>
    <definedName name="外部資料_14" localSheetId="15">PKB!#REF!</definedName>
    <definedName name="外部資料_14" localSheetId="16">PKC!#REF!</definedName>
    <definedName name="外部資料_14" localSheetId="7">PSR!#REF!</definedName>
    <definedName name="外部資料_14" localSheetId="2">紅綠燈!#REF!</definedName>
    <definedName name="外部資料_14" localSheetId="3">評比系統!#REF!</definedName>
    <definedName name="外部資料_14" localSheetId="9">葛林公式!$M$1:$W$61</definedName>
    <definedName name="外部資料_14" localSheetId="17">福邦!#REF!</definedName>
    <definedName name="外部資料_14" localSheetId="4">篩股系統!#REF!</definedName>
    <definedName name="外部資料_14" localSheetId="6">營收搶先報!#REF!</definedName>
    <definedName name="外部資料_140" localSheetId="14">PKA!#REF!</definedName>
    <definedName name="外部資料_140" localSheetId="15">PKB!#REF!</definedName>
    <definedName name="外部資料_140" localSheetId="16">PKC!#REF!</definedName>
    <definedName name="外部資料_140" localSheetId="7">PSR!#REF!</definedName>
    <definedName name="外部資料_140" localSheetId="3">評比系統!$T$1:$T$3</definedName>
    <definedName name="外部資料_140" localSheetId="17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4">PKA!#REF!</definedName>
    <definedName name="外部資料_141" localSheetId="15">PKB!#REF!</definedName>
    <definedName name="外部資料_141" localSheetId="16">PKC!#REF!</definedName>
    <definedName name="外部資料_141" localSheetId="7">PSR!#REF!</definedName>
    <definedName name="外部資料_141" localSheetId="3">評比系統!$T$1:$T$3</definedName>
    <definedName name="外部資料_141" localSheetId="17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4">PKA!#REF!</definedName>
    <definedName name="外部資料_142" localSheetId="15">PKB!#REF!</definedName>
    <definedName name="外部資料_142" localSheetId="16">PKC!#REF!</definedName>
    <definedName name="外部資料_142" localSheetId="7">PSR!#REF!</definedName>
    <definedName name="外部資料_142" localSheetId="3">評比系統!$T$1:$T$3</definedName>
    <definedName name="外部資料_142" localSheetId="17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4">PKA!#REF!</definedName>
    <definedName name="外部資料_143" localSheetId="15">PKB!#REF!</definedName>
    <definedName name="外部資料_143" localSheetId="16">PKC!#REF!</definedName>
    <definedName name="外部資料_143" localSheetId="7">PSR!#REF!</definedName>
    <definedName name="外部資料_143" localSheetId="3">評比系統!$T$1:$T$3</definedName>
    <definedName name="外部資料_143" localSheetId="17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4">PKA!#REF!</definedName>
    <definedName name="外部資料_144" localSheetId="15">PKB!#REF!</definedName>
    <definedName name="外部資料_144" localSheetId="16">PKC!#REF!</definedName>
    <definedName name="外部資料_144" localSheetId="7">PSR!#REF!</definedName>
    <definedName name="外部資料_144" localSheetId="3">評比系統!$T$1:$T$3</definedName>
    <definedName name="外部資料_144" localSheetId="17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4">PKA!#REF!</definedName>
    <definedName name="外部資料_145" localSheetId="15">PKB!#REF!</definedName>
    <definedName name="外部資料_145" localSheetId="16">PKC!#REF!</definedName>
    <definedName name="外部資料_145" localSheetId="7">PSR!#REF!</definedName>
    <definedName name="外部資料_145" localSheetId="3">評比系統!$T$1:$T$3</definedName>
    <definedName name="外部資料_145" localSheetId="17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4">PKA!#REF!</definedName>
    <definedName name="外部資料_146" localSheetId="15">PKB!#REF!</definedName>
    <definedName name="外部資料_146" localSheetId="16">PKC!#REF!</definedName>
    <definedName name="外部資料_146" localSheetId="7">PSR!#REF!</definedName>
    <definedName name="外部資料_146" localSheetId="3">評比系統!$T$1:$T$3</definedName>
    <definedName name="外部資料_146" localSheetId="17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4">PKA!#REF!</definedName>
    <definedName name="外部資料_147" localSheetId="15">PKB!#REF!</definedName>
    <definedName name="外部資料_147" localSheetId="16">PKC!#REF!</definedName>
    <definedName name="外部資料_147" localSheetId="7">PSR!#REF!</definedName>
    <definedName name="外部資料_147" localSheetId="3">評比系統!$T$1:$T$3</definedName>
    <definedName name="外部資料_147" localSheetId="17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4">PKA!#REF!</definedName>
    <definedName name="外部資料_148" localSheetId="15">PKB!#REF!</definedName>
    <definedName name="外部資料_148" localSheetId="16">PKC!#REF!</definedName>
    <definedName name="外部資料_148" localSheetId="7">PSR!#REF!</definedName>
    <definedName name="外部資料_148" localSheetId="3">評比系統!$T$1:$T$3</definedName>
    <definedName name="外部資料_148" localSheetId="17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4">PKA!#REF!</definedName>
    <definedName name="外部資料_149" localSheetId="15">PKB!#REF!</definedName>
    <definedName name="外部資料_149" localSheetId="16">PKC!#REF!</definedName>
    <definedName name="外部資料_149" localSheetId="7">PSR!#REF!</definedName>
    <definedName name="外部資料_149" localSheetId="3">評比系統!$T$1:$T$3</definedName>
    <definedName name="外部資料_149" localSheetId="17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4">PKA!#REF!</definedName>
    <definedName name="外部資料_15" localSheetId="15">PKB!#REF!</definedName>
    <definedName name="外部資料_15" localSheetId="16">PKC!#REF!</definedName>
    <definedName name="外部資料_15" localSheetId="7">PSR!#REF!</definedName>
    <definedName name="外部資料_15" localSheetId="3">評比系統!#REF!</definedName>
    <definedName name="外部資料_15" localSheetId="9">葛林公式!$M$1:$W$61</definedName>
    <definedName name="外部資料_15" localSheetId="17">福邦!#REF!</definedName>
    <definedName name="外部資料_15" localSheetId="4">篩股系統!#REF!</definedName>
    <definedName name="外部資料_15" localSheetId="6">營收搶先報!#REF!</definedName>
    <definedName name="外部資料_150" localSheetId="14">PKA!#REF!</definedName>
    <definedName name="外部資料_150" localSheetId="15">PKB!#REF!</definedName>
    <definedName name="外部資料_150" localSheetId="16">PKC!#REF!</definedName>
    <definedName name="外部資料_150" localSheetId="7">PSR!#REF!</definedName>
    <definedName name="外部資料_150" localSheetId="3">評比系統!$T$1:$T$3</definedName>
    <definedName name="外部資料_150" localSheetId="17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4">PKA!#REF!</definedName>
    <definedName name="外部資料_151" localSheetId="15">PKB!#REF!</definedName>
    <definedName name="外部資料_151" localSheetId="16">PKC!#REF!</definedName>
    <definedName name="外部資料_151" localSheetId="7">PSR!#REF!</definedName>
    <definedName name="外部資料_151" localSheetId="3">評比系統!$T$1:$AF$3</definedName>
    <definedName name="外部資料_151" localSheetId="17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4">PKA!#REF!</definedName>
    <definedName name="外部資料_152" localSheetId="15">PKB!#REF!</definedName>
    <definedName name="外部資料_152" localSheetId="16">PKC!#REF!</definedName>
    <definedName name="外部資料_152" localSheetId="7">PSR!#REF!</definedName>
    <definedName name="外部資料_152" localSheetId="3">評比系統!$T$1:$AF$3</definedName>
    <definedName name="外部資料_152" localSheetId="17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4">PKA!#REF!</definedName>
    <definedName name="外部資料_153" localSheetId="15">PKB!#REF!</definedName>
    <definedName name="外部資料_153" localSheetId="16">PKC!#REF!</definedName>
    <definedName name="外部資料_153" localSheetId="7">PSR!#REF!</definedName>
    <definedName name="外部資料_153" localSheetId="3">評比系統!$T$1:$AF$3</definedName>
    <definedName name="外部資料_153" localSheetId="17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4">PKA!#REF!</definedName>
    <definedName name="外部資料_154" localSheetId="15">PKB!#REF!</definedName>
    <definedName name="外部資料_154" localSheetId="16">PKC!#REF!</definedName>
    <definedName name="外部資料_154" localSheetId="7">PSR!#REF!</definedName>
    <definedName name="外部資料_154" localSheetId="3">評比系統!$T$1:$AF$3</definedName>
    <definedName name="外部資料_154" localSheetId="17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4">PKA!#REF!</definedName>
    <definedName name="外部資料_155" localSheetId="15">PKB!#REF!</definedName>
    <definedName name="外部資料_155" localSheetId="16">PKC!#REF!</definedName>
    <definedName name="外部資料_155" localSheetId="7">PSR!#REF!</definedName>
    <definedName name="外部資料_155" localSheetId="2">紅綠燈!#REF!</definedName>
    <definedName name="外部資料_155" localSheetId="3">評比系統!#REF!</definedName>
    <definedName name="外部資料_155" localSheetId="17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4">PKA!#REF!</definedName>
    <definedName name="外部資料_156" localSheetId="15">PKB!#REF!</definedName>
    <definedName name="外部資料_156" localSheetId="16">PKC!#REF!</definedName>
    <definedName name="外部資料_156" localSheetId="7">PSR!#REF!</definedName>
    <definedName name="外部資料_156" localSheetId="3">評比系統!$T$1:$AF$3</definedName>
    <definedName name="外部資料_156" localSheetId="17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4">PKA!#REF!</definedName>
    <definedName name="外部資料_157" localSheetId="15">PKB!#REF!</definedName>
    <definedName name="外部資料_157" localSheetId="16">PKC!#REF!</definedName>
    <definedName name="外部資料_157" localSheetId="7">PSR!#REF!</definedName>
    <definedName name="外部資料_157" localSheetId="3">評比系統!$T$1:$AF$3</definedName>
    <definedName name="外部資料_157" localSheetId="17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4">PKA!#REF!</definedName>
    <definedName name="外部資料_158" localSheetId="15">PKB!#REF!</definedName>
    <definedName name="外部資料_158" localSheetId="16">PKC!#REF!</definedName>
    <definedName name="外部資料_158" localSheetId="7">PSR!#REF!</definedName>
    <definedName name="外部資料_158" localSheetId="3">評比系統!$T$1:$AF$3</definedName>
    <definedName name="外部資料_158" localSheetId="17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4">PKA!#REF!</definedName>
    <definedName name="外部資料_159" localSheetId="15">PKB!#REF!</definedName>
    <definedName name="外部資料_159" localSheetId="16">PKC!#REF!</definedName>
    <definedName name="外部資料_159" localSheetId="7">PSR!#REF!</definedName>
    <definedName name="外部資料_159" localSheetId="3">評比系統!$T$1:$AF$3</definedName>
    <definedName name="外部資料_159" localSheetId="17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4">PKA!#REF!</definedName>
    <definedName name="外部資料_16" localSheetId="15">PKB!#REF!</definedName>
    <definedName name="外部資料_16" localSheetId="16">PKC!#REF!</definedName>
    <definedName name="外部資料_16" localSheetId="7">PSR!#REF!</definedName>
    <definedName name="外部資料_16" localSheetId="2">紅綠燈!#REF!</definedName>
    <definedName name="外部資料_16" localSheetId="3">評比系統!#REF!</definedName>
    <definedName name="外部資料_16" localSheetId="9">葛林公式!$M$1:$W$61</definedName>
    <definedName name="外部資料_16" localSheetId="17">福邦!#REF!</definedName>
    <definedName name="外部資料_16" localSheetId="4">篩股系統!#REF!</definedName>
    <definedName name="外部資料_16" localSheetId="6">營收搶先報!#REF!</definedName>
    <definedName name="外部資料_160" localSheetId="14">PKA!#REF!</definedName>
    <definedName name="外部資料_160" localSheetId="15">PKB!#REF!</definedName>
    <definedName name="外部資料_160" localSheetId="16">PKC!#REF!</definedName>
    <definedName name="外部資料_160" localSheetId="7">PSR!#REF!</definedName>
    <definedName name="外部資料_160" localSheetId="3">評比系統!$T$1:$AF$3</definedName>
    <definedName name="外部資料_160" localSheetId="17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4">PKA!#REF!</definedName>
    <definedName name="外部資料_161" localSheetId="15">PKB!#REF!</definedName>
    <definedName name="外部資料_161" localSheetId="16">PKC!#REF!</definedName>
    <definedName name="外部資料_161" localSheetId="7">PSR!#REF!</definedName>
    <definedName name="外部資料_161" localSheetId="3">評比系統!$T$1:$AF$3</definedName>
    <definedName name="外部資料_161" localSheetId="17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4">PKA!#REF!</definedName>
    <definedName name="外部資料_162" localSheetId="15">PKB!#REF!</definedName>
    <definedName name="外部資料_162" localSheetId="16">PKC!#REF!</definedName>
    <definedName name="外部資料_162" localSheetId="7">PSR!#REF!</definedName>
    <definedName name="外部資料_162" localSheetId="3">評比系統!$T$1:$AF$3</definedName>
    <definedName name="外部資料_162" localSheetId="17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4">PKA!#REF!</definedName>
    <definedName name="外部資料_163" localSheetId="15">PKB!#REF!</definedName>
    <definedName name="外部資料_163" localSheetId="16">PKC!#REF!</definedName>
    <definedName name="外部資料_163" localSheetId="7">PSR!#REF!</definedName>
    <definedName name="外部資料_163" localSheetId="3">評比系統!$T$1:$AF$3</definedName>
    <definedName name="外部資料_163" localSheetId="17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4">篩股系統!$C$8:$G$68</definedName>
    <definedName name="外部資料_1637" localSheetId="2">紅綠燈!#REF!</definedName>
    <definedName name="外部資料_1638" localSheetId="2">紅綠燈!#REF!</definedName>
    <definedName name="外部資料_164" localSheetId="14">PKA!#REF!</definedName>
    <definedName name="外部資料_164" localSheetId="15">PKB!#REF!</definedName>
    <definedName name="外部資料_164" localSheetId="16">PKC!#REF!</definedName>
    <definedName name="外部資料_164" localSheetId="7">PSR!#REF!</definedName>
    <definedName name="外部資料_164" localSheetId="3">評比系統!$T$1:$AF$3</definedName>
    <definedName name="外部資料_164" localSheetId="17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4">PKA!#REF!</definedName>
    <definedName name="外部資料_165" localSheetId="15">PKB!#REF!</definedName>
    <definedName name="外部資料_165" localSheetId="16">PKC!#REF!</definedName>
    <definedName name="外部資料_165" localSheetId="7">PSR!#REF!</definedName>
    <definedName name="外部資料_165" localSheetId="3">評比系統!$T$1:$AF$3</definedName>
    <definedName name="外部資料_165" localSheetId="17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4">PKA!#REF!</definedName>
    <definedName name="外部資料_166" localSheetId="15">PKB!#REF!</definedName>
    <definedName name="外部資料_166" localSheetId="16">PKC!#REF!</definedName>
    <definedName name="外部資料_166" localSheetId="7">PSR!#REF!</definedName>
    <definedName name="外部資料_166" localSheetId="3">評比系統!$T$1:$AF$3</definedName>
    <definedName name="外部資料_166" localSheetId="17">福邦!#REF!</definedName>
    <definedName name="外部資料_1660" localSheetId="2">紅綠燈!#REF!</definedName>
    <definedName name="外部資料_1661" localSheetId="2">紅綠燈!#REF!</definedName>
    <definedName name="外部資料_1661" localSheetId="4">篩股系統!$C$8:$G$65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4">PKA!#REF!</definedName>
    <definedName name="外部資料_167" localSheetId="15">PKB!#REF!</definedName>
    <definedName name="外部資料_167" localSheetId="16">PKC!#REF!</definedName>
    <definedName name="外部資料_167" localSheetId="7">PSR!#REF!</definedName>
    <definedName name="外部資料_167" localSheetId="3">評比系統!$T$1:$AF$3</definedName>
    <definedName name="外部資料_167" localSheetId="17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4">PKA!#REF!</definedName>
    <definedName name="外部資料_168" localSheetId="15">PKB!#REF!</definedName>
    <definedName name="外部資料_168" localSheetId="16">PKC!#REF!</definedName>
    <definedName name="外部資料_168" localSheetId="7">PSR!#REF!</definedName>
    <definedName name="外部資料_168" localSheetId="3">評比系統!$T$1:$AF$3</definedName>
    <definedName name="外部資料_168" localSheetId="17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4">PKA!#REF!</definedName>
    <definedName name="外部資料_169" localSheetId="15">PKB!#REF!</definedName>
    <definedName name="外部資料_169" localSheetId="16">PKC!#REF!</definedName>
    <definedName name="外部資料_169" localSheetId="7">PSR!#REF!</definedName>
    <definedName name="外部資料_169" localSheetId="3">評比系統!$T$1:$AF$3</definedName>
    <definedName name="外部資料_169" localSheetId="17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4">PKA!#REF!</definedName>
    <definedName name="外部資料_17" localSheetId="15">PKB!#REF!</definedName>
    <definedName name="外部資料_17" localSheetId="16">PKC!#REF!</definedName>
    <definedName name="外部資料_17" localSheetId="7">PSR!#REF!</definedName>
    <definedName name="外部資料_17" localSheetId="2">紅綠燈!#REF!</definedName>
    <definedName name="外部資料_17" localSheetId="3">評比系統!#REF!</definedName>
    <definedName name="外部資料_17" localSheetId="9">葛林公式!$M$1:$W$61</definedName>
    <definedName name="外部資料_17" localSheetId="17">福邦!#REF!</definedName>
    <definedName name="外部資料_17" localSheetId="4">篩股系統!#REF!</definedName>
    <definedName name="外部資料_17" localSheetId="6">營收搶先報!#REF!</definedName>
    <definedName name="外部資料_170" localSheetId="14">PKA!#REF!</definedName>
    <definedName name="外部資料_170" localSheetId="15">PKB!#REF!</definedName>
    <definedName name="外部資料_170" localSheetId="16">PKC!#REF!</definedName>
    <definedName name="外部資料_170" localSheetId="7">PSR!#REF!</definedName>
    <definedName name="外部資料_170" localSheetId="3">評比系統!$T$1:$AF$3</definedName>
    <definedName name="外部資料_170" localSheetId="17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4">PKA!#REF!</definedName>
    <definedName name="外部資料_171" localSheetId="15">PKB!#REF!</definedName>
    <definedName name="外部資料_171" localSheetId="16">PKC!#REF!</definedName>
    <definedName name="外部資料_171" localSheetId="7">PSR!#REF!</definedName>
    <definedName name="外部資料_171" localSheetId="3">評比系統!$T$1:$AF$3</definedName>
    <definedName name="外部資料_171" localSheetId="17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4">PKA!#REF!</definedName>
    <definedName name="外部資料_172" localSheetId="15">PKB!#REF!</definedName>
    <definedName name="外部資料_172" localSheetId="16">PKC!#REF!</definedName>
    <definedName name="外部資料_172" localSheetId="7">PSR!#REF!</definedName>
    <definedName name="外部資料_172" localSheetId="3">評比系統!$T$1:$AF$3</definedName>
    <definedName name="外部資料_172" localSheetId="17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4">PKA!#REF!</definedName>
    <definedName name="外部資料_173" localSheetId="15">PKB!#REF!</definedName>
    <definedName name="外部資料_173" localSheetId="16">PKC!#REF!</definedName>
    <definedName name="外部資料_173" localSheetId="7">PSR!#REF!</definedName>
    <definedName name="外部資料_173" localSheetId="3">評比系統!$T$1:$AF$3</definedName>
    <definedName name="外部資料_173" localSheetId="17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4">PKA!#REF!</definedName>
    <definedName name="外部資料_174" localSheetId="15">PKB!#REF!</definedName>
    <definedName name="外部資料_174" localSheetId="16">PKC!#REF!</definedName>
    <definedName name="外部資料_174" localSheetId="7">PSR!#REF!</definedName>
    <definedName name="外部資料_174" localSheetId="3">評比系統!$T$1:$AF$3</definedName>
    <definedName name="外部資料_174" localSheetId="17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4">PKA!#REF!</definedName>
    <definedName name="外部資料_175" localSheetId="15">PKB!#REF!</definedName>
    <definedName name="外部資料_175" localSheetId="16">PKC!#REF!</definedName>
    <definedName name="外部資料_175" localSheetId="7">PSR!#REF!</definedName>
    <definedName name="外部資料_175" localSheetId="3">評比系統!$T$1:$AF$3</definedName>
    <definedName name="外部資料_175" localSheetId="17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4">PKA!#REF!</definedName>
    <definedName name="外部資料_176" localSheetId="15">PKB!#REF!</definedName>
    <definedName name="外部資料_176" localSheetId="16">PKC!#REF!</definedName>
    <definedName name="外部資料_176" localSheetId="7">PSR!#REF!</definedName>
    <definedName name="外部資料_176" localSheetId="3">評比系統!$T$1:$AF$3</definedName>
    <definedName name="外部資料_176" localSheetId="17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4">PKA!#REF!</definedName>
    <definedName name="外部資料_177" localSheetId="15">PKB!#REF!</definedName>
    <definedName name="外部資料_177" localSheetId="16">PKC!#REF!</definedName>
    <definedName name="外部資料_177" localSheetId="7">PSR!#REF!</definedName>
    <definedName name="外部資料_177" localSheetId="3">評比系統!$T$1:$AF$3</definedName>
    <definedName name="外部資料_177" localSheetId="17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4">PKA!#REF!</definedName>
    <definedName name="外部資料_178" localSheetId="15">PKB!#REF!</definedName>
    <definedName name="外部資料_178" localSheetId="16">PKC!#REF!</definedName>
    <definedName name="外部資料_178" localSheetId="7">PSR!#REF!</definedName>
    <definedName name="外部資料_178" localSheetId="3">評比系統!$T$1:$AF$3</definedName>
    <definedName name="外部資料_178" localSheetId="17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4">PKA!#REF!</definedName>
    <definedName name="外部資料_179" localSheetId="15">PKB!#REF!</definedName>
    <definedName name="外部資料_179" localSheetId="16">PKC!#REF!</definedName>
    <definedName name="外部資料_179" localSheetId="7">PSR!#REF!</definedName>
    <definedName name="外部資料_179" localSheetId="3">評比系統!$T$1:$AF$3</definedName>
    <definedName name="外部資料_179" localSheetId="17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4">PKA!#REF!</definedName>
    <definedName name="外部資料_18" localSheetId="15">PKB!#REF!</definedName>
    <definedName name="外部資料_18" localSheetId="16">PKC!#REF!</definedName>
    <definedName name="外部資料_18" localSheetId="7">PSR!#REF!</definedName>
    <definedName name="外部資料_18" localSheetId="2">紅綠燈!#REF!</definedName>
    <definedName name="外部資料_18" localSheetId="3">評比系統!#REF!</definedName>
    <definedName name="外部資料_18" localSheetId="9">葛林公式!$M$1:$W$61</definedName>
    <definedName name="外部資料_18" localSheetId="17">福邦!#REF!</definedName>
    <definedName name="外部資料_18" localSheetId="4">篩股系統!#REF!</definedName>
    <definedName name="外部資料_18" localSheetId="6">營收搶先報!#REF!</definedName>
    <definedName name="外部資料_180" localSheetId="14">PKA!#REF!</definedName>
    <definedName name="外部資料_180" localSheetId="15">PKB!#REF!</definedName>
    <definedName name="外部資料_180" localSheetId="16">PKC!#REF!</definedName>
    <definedName name="外部資料_180" localSheetId="7">PSR!#REF!</definedName>
    <definedName name="外部資料_180" localSheetId="3">評比系統!$T$1:$AF$3</definedName>
    <definedName name="外部資料_180" localSheetId="17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4">PKA!#REF!</definedName>
    <definedName name="外部資料_181" localSheetId="15">PKB!#REF!</definedName>
    <definedName name="外部資料_181" localSheetId="16">PKC!#REF!</definedName>
    <definedName name="外部資料_181" localSheetId="7">PSR!#REF!</definedName>
    <definedName name="外部資料_181" localSheetId="3">評比系統!$T$1:$AF$3</definedName>
    <definedName name="外部資料_181" localSheetId="17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4">PKA!#REF!</definedName>
    <definedName name="外部資料_182" localSheetId="15">PKB!#REF!</definedName>
    <definedName name="外部資料_182" localSheetId="16">PKC!#REF!</definedName>
    <definedName name="外部資料_182" localSheetId="7">PSR!#REF!</definedName>
    <definedName name="外部資料_182" localSheetId="3">評比系統!$T$1:$AF$3</definedName>
    <definedName name="外部資料_182" localSheetId="17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4">PKA!#REF!</definedName>
    <definedName name="外部資料_183" localSheetId="15">PKB!#REF!</definedName>
    <definedName name="外部資料_183" localSheetId="16">PKC!#REF!</definedName>
    <definedName name="外部資料_183" localSheetId="7">PSR!#REF!</definedName>
    <definedName name="外部資料_183" localSheetId="3">評比系統!$T$1:$AF$3</definedName>
    <definedName name="外部資料_183" localSheetId="17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4">PKA!#REF!</definedName>
    <definedName name="外部資料_184" localSheetId="15">PKB!#REF!</definedName>
    <definedName name="外部資料_184" localSheetId="16">PKC!#REF!</definedName>
    <definedName name="外部資料_184" localSheetId="7">PSR!#REF!</definedName>
    <definedName name="外部資料_184" localSheetId="3">評比系統!$T$1:$AF$3</definedName>
    <definedName name="外部資料_184" localSheetId="17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4">PKA!#REF!</definedName>
    <definedName name="外部資料_185" localSheetId="15">PKB!#REF!</definedName>
    <definedName name="外部資料_185" localSheetId="16">PKC!#REF!</definedName>
    <definedName name="外部資料_185" localSheetId="7">PSR!#REF!</definedName>
    <definedName name="外部資料_185" localSheetId="3">評比系統!$T$1:$AF$3</definedName>
    <definedName name="外部資料_185" localSheetId="17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4">PKA!#REF!</definedName>
    <definedName name="外部資料_186" localSheetId="15">PKB!#REF!</definedName>
    <definedName name="外部資料_186" localSheetId="16">PKC!#REF!</definedName>
    <definedName name="外部資料_186" localSheetId="7">PSR!#REF!</definedName>
    <definedName name="外部資料_186" localSheetId="3">評比系統!$T$1:$AF$3</definedName>
    <definedName name="外部資料_186" localSheetId="17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4">PKA!#REF!</definedName>
    <definedName name="外部資料_187" localSheetId="15">PKB!#REF!</definedName>
    <definedName name="外部資料_187" localSheetId="16">PKC!#REF!</definedName>
    <definedName name="外部資料_187" localSheetId="7">PSR!#REF!</definedName>
    <definedName name="外部資料_187" localSheetId="3">評比系統!$T$1:$AF$3</definedName>
    <definedName name="外部資料_187" localSheetId="17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4">PKA!#REF!</definedName>
    <definedName name="外部資料_188" localSheetId="15">PKB!#REF!</definedName>
    <definedName name="外部資料_188" localSheetId="16">PKC!#REF!</definedName>
    <definedName name="外部資料_188" localSheetId="7">PSR!#REF!</definedName>
    <definedName name="外部資料_188" localSheetId="3">評比系統!$T$1:$AF$3</definedName>
    <definedName name="外部資料_188" localSheetId="17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4">PKA!#REF!</definedName>
    <definedName name="外部資料_189" localSheetId="15">PKB!#REF!</definedName>
    <definedName name="外部資料_189" localSheetId="16">PKC!#REF!</definedName>
    <definedName name="外部資料_189" localSheetId="7">PSR!#REF!</definedName>
    <definedName name="外部資料_189" localSheetId="3">評比系統!$T$1:$AF$3</definedName>
    <definedName name="外部資料_189" localSheetId="17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4">PKA!#REF!</definedName>
    <definedName name="外部資料_19" localSheetId="15">PKB!#REF!</definedName>
    <definedName name="外部資料_19" localSheetId="16">PKC!#REF!</definedName>
    <definedName name="外部資料_19" localSheetId="7">PSR!#REF!</definedName>
    <definedName name="外部資料_19" localSheetId="2">紅綠燈!#REF!</definedName>
    <definedName name="外部資料_19" localSheetId="3">評比系統!#REF!</definedName>
    <definedName name="外部資料_19" localSheetId="9">葛林公式!$M$1:$W$61</definedName>
    <definedName name="外部資料_19" localSheetId="17">福邦!#REF!</definedName>
    <definedName name="外部資料_19" localSheetId="4">篩股系統!#REF!</definedName>
    <definedName name="外部資料_19" localSheetId="6">營收搶先報!#REF!</definedName>
    <definedName name="外部資料_190" localSheetId="14">PKA!#REF!</definedName>
    <definedName name="外部資料_190" localSheetId="15">PKB!#REF!</definedName>
    <definedName name="外部資料_190" localSheetId="16">PKC!#REF!</definedName>
    <definedName name="外部資料_190" localSheetId="7">PSR!#REF!</definedName>
    <definedName name="外部資料_190" localSheetId="3">評比系統!$T$1:$AF$3</definedName>
    <definedName name="外部資料_190" localSheetId="17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4">PKA!#REF!</definedName>
    <definedName name="外部資料_191" localSheetId="15">PKB!#REF!</definedName>
    <definedName name="外部資料_191" localSheetId="16">PKC!#REF!</definedName>
    <definedName name="外部資料_191" localSheetId="7">PSR!#REF!</definedName>
    <definedName name="外部資料_191" localSheetId="3">評比系統!$T$1:$AF$3</definedName>
    <definedName name="外部資料_191" localSheetId="17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4">PKA!#REF!</definedName>
    <definedName name="外部資料_192" localSheetId="15">PKB!#REF!</definedName>
    <definedName name="外部資料_192" localSheetId="16">PKC!#REF!</definedName>
    <definedName name="外部資料_192" localSheetId="7">PSR!#REF!</definedName>
    <definedName name="外部資料_192" localSheetId="3">評比系統!$T$1:$AF$3</definedName>
    <definedName name="外部資料_192" localSheetId="17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4">PKA!#REF!</definedName>
    <definedName name="外部資料_193" localSheetId="15">PKB!#REF!</definedName>
    <definedName name="外部資料_193" localSheetId="16">PKC!#REF!</definedName>
    <definedName name="外部資料_193" localSheetId="7">PSR!#REF!</definedName>
    <definedName name="外部資料_193" localSheetId="3">評比系統!$T$1:$AF$3</definedName>
    <definedName name="外部資料_193" localSheetId="17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4">PKA!#REF!</definedName>
    <definedName name="外部資料_194" localSheetId="15">PKB!#REF!</definedName>
    <definedName name="外部資料_194" localSheetId="16">PKC!#REF!</definedName>
    <definedName name="外部資料_194" localSheetId="7">PSR!#REF!</definedName>
    <definedName name="外部資料_194" localSheetId="3">評比系統!$T$1:$AF$3</definedName>
    <definedName name="外部資料_194" localSheetId="17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4">PKA!#REF!</definedName>
    <definedName name="外部資料_195" localSheetId="15">PKB!#REF!</definedName>
    <definedName name="外部資料_195" localSheetId="16">PKC!#REF!</definedName>
    <definedName name="外部資料_195" localSheetId="7">PSR!#REF!</definedName>
    <definedName name="外部資料_195" localSheetId="3">評比系統!$T$1:$AF$3</definedName>
    <definedName name="外部資料_195" localSheetId="17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4">PKA!#REF!</definedName>
    <definedName name="外部資料_196" localSheetId="15">PKB!#REF!</definedName>
    <definedName name="外部資料_196" localSheetId="16">PKC!#REF!</definedName>
    <definedName name="外部資料_196" localSheetId="7">PSR!#REF!</definedName>
    <definedName name="外部資料_196" localSheetId="3">評比系統!$T$1:$AF$3</definedName>
    <definedName name="外部資料_196" localSheetId="17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4">PKA!#REF!</definedName>
    <definedName name="外部資料_197" localSheetId="15">PKB!#REF!</definedName>
    <definedName name="外部資料_197" localSheetId="16">PKC!#REF!</definedName>
    <definedName name="外部資料_197" localSheetId="7">PSR!#REF!</definedName>
    <definedName name="外部資料_197" localSheetId="3">評比系統!$T$1:$AF$3</definedName>
    <definedName name="外部資料_197" localSheetId="17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4">PKA!#REF!</definedName>
    <definedName name="外部資料_198" localSheetId="15">PKB!#REF!</definedName>
    <definedName name="外部資料_198" localSheetId="16">PKC!#REF!</definedName>
    <definedName name="外部資料_198" localSheetId="7">PSR!#REF!</definedName>
    <definedName name="外部資料_198" localSheetId="3">評比系統!$T$1:$AF$3</definedName>
    <definedName name="外部資料_198" localSheetId="17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4">PKA!#REF!</definedName>
    <definedName name="外部資料_199" localSheetId="15">PKB!#REF!</definedName>
    <definedName name="外部資料_199" localSheetId="16">PKC!#REF!</definedName>
    <definedName name="外部資料_199" localSheetId="7">PSR!#REF!</definedName>
    <definedName name="外部資料_199" localSheetId="3">評比系統!$T$1:$AF$3</definedName>
    <definedName name="外部資料_199" localSheetId="17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4">PKA!#REF!</definedName>
    <definedName name="外部資料_2" localSheetId="15">PKB!#REF!</definedName>
    <definedName name="外部資料_2" localSheetId="16">PKC!#REF!</definedName>
    <definedName name="外部資料_2" localSheetId="7">PSR!#REF!</definedName>
    <definedName name="外部資料_2" localSheetId="2">紅綠燈!#REF!</definedName>
    <definedName name="外部資料_2" localSheetId="3">評比系統!#REF!</definedName>
    <definedName name="外部資料_2" localSheetId="9">葛林公式!$M$1:$W$61</definedName>
    <definedName name="外部資料_2" localSheetId="17">福邦!#REF!</definedName>
    <definedName name="外部資料_2" localSheetId="4">篩股系統!#REF!</definedName>
    <definedName name="外部資料_2" localSheetId="6">營收搶先報!#REF!</definedName>
    <definedName name="外部資料_20" localSheetId="14">PKA!#REF!</definedName>
    <definedName name="外部資料_20" localSheetId="15">PKB!#REF!</definedName>
    <definedName name="外部資料_20" localSheetId="16">PKC!#REF!</definedName>
    <definedName name="外部資料_20" localSheetId="7">PSR!#REF!</definedName>
    <definedName name="外部資料_20" localSheetId="2">紅綠燈!#REF!</definedName>
    <definedName name="外部資料_20" localSheetId="3">評比系統!#REF!</definedName>
    <definedName name="外部資料_20" localSheetId="9">葛林公式!$M$1:$W$61</definedName>
    <definedName name="外部資料_20" localSheetId="17">福邦!#REF!</definedName>
    <definedName name="外部資料_20" localSheetId="4">篩股系統!#REF!</definedName>
    <definedName name="外部資料_20" localSheetId="6">營收搶先報!#REF!</definedName>
    <definedName name="外部資料_200" localSheetId="14">PKA!#REF!</definedName>
    <definedName name="外部資料_200" localSheetId="15">PKB!#REF!</definedName>
    <definedName name="外部資料_200" localSheetId="16">PKC!#REF!</definedName>
    <definedName name="外部資料_200" localSheetId="7">PSR!#REF!</definedName>
    <definedName name="外部資料_200" localSheetId="3">評比系統!$T$1:$AF$3</definedName>
    <definedName name="外部資料_200" localSheetId="17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4">PKA!#REF!</definedName>
    <definedName name="外部資料_201" localSheetId="15">PKB!#REF!</definedName>
    <definedName name="外部資料_201" localSheetId="16">PKC!#REF!</definedName>
    <definedName name="外部資料_201" localSheetId="7">PSR!#REF!</definedName>
    <definedName name="外部資料_201" localSheetId="3">評比系統!$T$1:$AF$3</definedName>
    <definedName name="外部資料_201" localSheetId="17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4">PKA!#REF!</definedName>
    <definedName name="外部資料_202" localSheetId="15">PKB!#REF!</definedName>
    <definedName name="外部資料_202" localSheetId="16">PKC!#REF!</definedName>
    <definedName name="外部資料_202" localSheetId="7">PSR!#REF!</definedName>
    <definedName name="外部資料_202" localSheetId="3">評比系統!$T$1:$AF$3</definedName>
    <definedName name="外部資料_202" localSheetId="17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4">PKA!#REF!</definedName>
    <definedName name="外部資料_203" localSheetId="15">PKB!#REF!</definedName>
    <definedName name="外部資料_203" localSheetId="16">PKC!#REF!</definedName>
    <definedName name="外部資料_203" localSheetId="7">PSR!#REF!</definedName>
    <definedName name="外部資料_203" localSheetId="3">評比系統!$T$1:$AF$3</definedName>
    <definedName name="外部資料_203" localSheetId="17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4">PKA!#REF!</definedName>
    <definedName name="外部資料_204" localSheetId="15">PKB!#REF!</definedName>
    <definedName name="外部資料_204" localSheetId="16">PKC!#REF!</definedName>
    <definedName name="外部資料_204" localSheetId="7">PSR!#REF!</definedName>
    <definedName name="外部資料_204" localSheetId="3">評比系統!$T$1:$AF$3</definedName>
    <definedName name="外部資料_204" localSheetId="17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4">PKA!#REF!</definedName>
    <definedName name="外部資料_205" localSheetId="15">PKB!#REF!</definedName>
    <definedName name="外部資料_205" localSheetId="16">PKC!#REF!</definedName>
    <definedName name="外部資料_205" localSheetId="7">PSR!#REF!</definedName>
    <definedName name="外部資料_205" localSheetId="3">評比系統!$T$1:$AF$3</definedName>
    <definedName name="外部資料_205" localSheetId="17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4">PKA!#REF!</definedName>
    <definedName name="外部資料_206" localSheetId="15">PKB!#REF!</definedName>
    <definedName name="外部資料_206" localSheetId="16">PKC!#REF!</definedName>
    <definedName name="外部資料_206" localSheetId="7">PSR!#REF!</definedName>
    <definedName name="外部資料_206" localSheetId="3">評比系統!$T$1:$AF$3</definedName>
    <definedName name="外部資料_206" localSheetId="17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4">PKA!#REF!</definedName>
    <definedName name="外部資料_207" localSheetId="15">PKB!#REF!</definedName>
    <definedName name="外部資料_207" localSheetId="16">PKC!#REF!</definedName>
    <definedName name="外部資料_207" localSheetId="7">PSR!#REF!</definedName>
    <definedName name="外部資料_207" localSheetId="3">評比系統!$T$1:$AF$3</definedName>
    <definedName name="外部資料_207" localSheetId="17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4">PKA!#REF!</definedName>
    <definedName name="外部資料_208" localSheetId="15">PKB!#REF!</definedName>
    <definedName name="外部資料_208" localSheetId="16">PKC!#REF!</definedName>
    <definedName name="外部資料_208" localSheetId="7">PSR!#REF!</definedName>
    <definedName name="外部資料_208" localSheetId="3">評比系統!$T$1:$AF$3</definedName>
    <definedName name="外部資料_208" localSheetId="17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4">PKA!#REF!</definedName>
    <definedName name="外部資料_209" localSheetId="15">PKB!#REF!</definedName>
    <definedName name="外部資料_209" localSheetId="16">PKC!#REF!</definedName>
    <definedName name="外部資料_209" localSheetId="7">PSR!#REF!</definedName>
    <definedName name="外部資料_209" localSheetId="3">評比系統!$T$1:$AF$3</definedName>
    <definedName name="外部資料_209" localSheetId="17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4">PKA!#REF!</definedName>
    <definedName name="外部資料_21" localSheetId="15">PKB!#REF!</definedName>
    <definedName name="外部資料_21" localSheetId="16">PKC!#REF!</definedName>
    <definedName name="外部資料_21" localSheetId="7">PSR!#REF!</definedName>
    <definedName name="外部資料_21" localSheetId="2">紅綠燈!#REF!</definedName>
    <definedName name="外部資料_21" localSheetId="3">評比系統!#REF!</definedName>
    <definedName name="外部資料_21" localSheetId="9">葛林公式!$M$1:$W$61</definedName>
    <definedName name="外部資料_21" localSheetId="17">福邦!#REF!</definedName>
    <definedName name="外部資料_21" localSheetId="4">篩股系統!#REF!</definedName>
    <definedName name="外部資料_21" localSheetId="6">營收搶先報!#REF!</definedName>
    <definedName name="外部資料_210" localSheetId="14">PKA!#REF!</definedName>
    <definedName name="外部資料_210" localSheetId="15">PKB!#REF!</definedName>
    <definedName name="外部資料_210" localSheetId="16">PKC!#REF!</definedName>
    <definedName name="外部資料_210" localSheetId="7">PSR!#REF!</definedName>
    <definedName name="外部資料_210" localSheetId="3">評比系統!$T$1:$AF$3</definedName>
    <definedName name="外部資料_210" localSheetId="17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4">PKA!#REF!</definedName>
    <definedName name="外部資料_211" localSheetId="15">PKB!#REF!</definedName>
    <definedName name="外部資料_211" localSheetId="16">PKC!#REF!</definedName>
    <definedName name="外部資料_211" localSheetId="7">PSR!#REF!</definedName>
    <definedName name="外部資料_211" localSheetId="3">評比系統!$T$1:$AF$3</definedName>
    <definedName name="外部資料_211" localSheetId="17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4">PKA!#REF!</definedName>
    <definedName name="外部資料_212" localSheetId="15">PKB!#REF!</definedName>
    <definedName name="外部資料_212" localSheetId="16">PKC!#REF!</definedName>
    <definedName name="外部資料_212" localSheetId="7">PSR!#REF!</definedName>
    <definedName name="外部資料_212" localSheetId="3">評比系統!$T$1:$AF$3</definedName>
    <definedName name="外部資料_212" localSheetId="17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4">PKA!#REF!</definedName>
    <definedName name="外部資料_213" localSheetId="15">PKB!#REF!</definedName>
    <definedName name="外部資料_213" localSheetId="16">PKC!#REF!</definedName>
    <definedName name="外部資料_213" localSheetId="7">PSR!#REF!</definedName>
    <definedName name="外部資料_213" localSheetId="3">評比系統!$T$1:$AF$3</definedName>
    <definedName name="外部資料_213" localSheetId="17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4">PKA!#REF!</definedName>
    <definedName name="外部資料_214" localSheetId="15">PKB!#REF!</definedName>
    <definedName name="外部資料_214" localSheetId="16">PKC!#REF!</definedName>
    <definedName name="外部資料_214" localSheetId="7">PSR!#REF!</definedName>
    <definedName name="外部資料_214" localSheetId="3">評比系統!$T$1:$AF$3</definedName>
    <definedName name="外部資料_214" localSheetId="17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4">PKA!#REF!</definedName>
    <definedName name="外部資料_215" localSheetId="15">PKB!#REF!</definedName>
    <definedName name="外部資料_215" localSheetId="16">PKC!#REF!</definedName>
    <definedName name="外部資料_215" localSheetId="7">PSR!#REF!</definedName>
    <definedName name="外部資料_215" localSheetId="3">評比系統!$T$1:$AF$3</definedName>
    <definedName name="外部資料_215" localSheetId="17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4">PKA!#REF!</definedName>
    <definedName name="外部資料_216" localSheetId="15">PKB!#REF!</definedName>
    <definedName name="外部資料_216" localSheetId="16">PKC!#REF!</definedName>
    <definedName name="外部資料_216" localSheetId="7">PSR!#REF!</definedName>
    <definedName name="外部資料_216" localSheetId="3">評比系統!$T$1:$AF$3</definedName>
    <definedName name="外部資料_216" localSheetId="17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4">PKA!#REF!</definedName>
    <definedName name="外部資料_217" localSheetId="15">PKB!#REF!</definedName>
    <definedName name="外部資料_217" localSheetId="16">PKC!#REF!</definedName>
    <definedName name="外部資料_217" localSheetId="7">PSR!#REF!</definedName>
    <definedName name="外部資料_217" localSheetId="3">評比系統!$T$1:$AF$3</definedName>
    <definedName name="外部資料_217" localSheetId="17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4">PKA!#REF!</definedName>
    <definedName name="外部資料_218" localSheetId="15">PKB!#REF!</definedName>
    <definedName name="外部資料_218" localSheetId="16">PKC!#REF!</definedName>
    <definedName name="外部資料_218" localSheetId="7">PSR!#REF!</definedName>
    <definedName name="外部資料_218" localSheetId="3">評比系統!$T$1:$AF$3</definedName>
    <definedName name="外部資料_218" localSheetId="17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4">篩股系統!$D$3:$H$63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4">PKA!#REF!</definedName>
    <definedName name="外部資料_219" localSheetId="15">PKB!#REF!</definedName>
    <definedName name="外部資料_219" localSheetId="16">PKC!#REF!</definedName>
    <definedName name="外部資料_219" localSheetId="7">PSR!#REF!</definedName>
    <definedName name="外部資料_219" localSheetId="3">評比系統!$T$1:$AF$3</definedName>
    <definedName name="外部資料_219" localSheetId="17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4">PKA!#REF!</definedName>
    <definedName name="外部資料_22" localSheetId="15">PKB!#REF!</definedName>
    <definedName name="外部資料_22" localSheetId="16">PKC!#REF!</definedName>
    <definedName name="外部資料_22" localSheetId="7">PSR!#REF!</definedName>
    <definedName name="外部資料_22" localSheetId="2">紅綠燈!#REF!</definedName>
    <definedName name="外部資料_22" localSheetId="3">評比系統!#REF!</definedName>
    <definedName name="外部資料_22" localSheetId="9">葛林公式!$M$1:$W$61</definedName>
    <definedName name="外部資料_22" localSheetId="17">福邦!#REF!</definedName>
    <definedName name="外部資料_22" localSheetId="4">篩股系統!#REF!</definedName>
    <definedName name="外部資料_22" localSheetId="6">營收搶先報!#REF!</definedName>
    <definedName name="外部資料_220" localSheetId="14">PKA!#REF!</definedName>
    <definedName name="外部資料_220" localSheetId="15">PKB!#REF!</definedName>
    <definedName name="外部資料_220" localSheetId="16">PKC!#REF!</definedName>
    <definedName name="外部資料_220" localSheetId="7">PSR!#REF!</definedName>
    <definedName name="外部資料_220" localSheetId="3">評比系統!$T$1:$AF$3</definedName>
    <definedName name="外部資料_220" localSheetId="17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4">PKA!#REF!</definedName>
    <definedName name="外部資料_221" localSheetId="15">PKB!#REF!</definedName>
    <definedName name="外部資料_221" localSheetId="16">PKC!#REF!</definedName>
    <definedName name="外部資料_221" localSheetId="7">PSR!#REF!</definedName>
    <definedName name="外部資料_221" localSheetId="3">評比系統!$T$1:$AF$3</definedName>
    <definedName name="外部資料_221" localSheetId="17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4">PKA!#REF!</definedName>
    <definedName name="外部資料_222" localSheetId="15">PKB!#REF!</definedName>
    <definedName name="外部資料_222" localSheetId="16">PKC!#REF!</definedName>
    <definedName name="外部資料_222" localSheetId="7">PSR!#REF!</definedName>
    <definedName name="外部資料_222" localSheetId="3">評比系統!$T$1:$AF$3</definedName>
    <definedName name="外部資料_222" localSheetId="17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4">PKA!#REF!</definedName>
    <definedName name="外部資料_223" localSheetId="15">PKB!#REF!</definedName>
    <definedName name="外部資料_223" localSheetId="16">PKC!#REF!</definedName>
    <definedName name="外部資料_223" localSheetId="7">PSR!#REF!</definedName>
    <definedName name="外部資料_223" localSheetId="3">評比系統!$T$1:$AF$3</definedName>
    <definedName name="外部資料_223" localSheetId="17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4">PKA!#REF!</definedName>
    <definedName name="外部資料_224" localSheetId="15">PKB!#REF!</definedName>
    <definedName name="外部資料_224" localSheetId="16">PKC!#REF!</definedName>
    <definedName name="外部資料_224" localSheetId="7">PSR!#REF!</definedName>
    <definedName name="外部資料_224" localSheetId="3">評比系統!$T$1:$AF$3</definedName>
    <definedName name="外部資料_224" localSheetId="17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4">PKA!#REF!</definedName>
    <definedName name="外部資料_225" localSheetId="15">PKB!#REF!</definedName>
    <definedName name="外部資料_225" localSheetId="16">PKC!#REF!</definedName>
    <definedName name="外部資料_225" localSheetId="7">PSR!#REF!</definedName>
    <definedName name="外部資料_225" localSheetId="3">評比系統!$T$1:$AF$3</definedName>
    <definedName name="外部資料_225" localSheetId="17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4">PKA!#REF!</definedName>
    <definedName name="外部資料_226" localSheetId="15">PKB!#REF!</definedName>
    <definedName name="外部資料_226" localSheetId="16">PKC!#REF!</definedName>
    <definedName name="外部資料_226" localSheetId="7">PSR!#REF!</definedName>
    <definedName name="外部資料_226" localSheetId="3">評比系統!$T$1:$AF$3</definedName>
    <definedName name="外部資料_226" localSheetId="17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4">PKA!#REF!</definedName>
    <definedName name="外部資料_227" localSheetId="15">PKB!#REF!</definedName>
    <definedName name="外部資料_227" localSheetId="16">PKC!#REF!</definedName>
    <definedName name="外部資料_227" localSheetId="7">PSR!#REF!</definedName>
    <definedName name="外部資料_227" localSheetId="3">評比系統!$T$1:$AF$3</definedName>
    <definedName name="外部資料_227" localSheetId="17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4">PKA!#REF!</definedName>
    <definedName name="外部資料_228" localSheetId="15">PKB!#REF!</definedName>
    <definedName name="外部資料_228" localSheetId="16">PKC!#REF!</definedName>
    <definedName name="外部資料_228" localSheetId="7">PSR!#REF!</definedName>
    <definedName name="外部資料_228" localSheetId="3">評比系統!$T$1:$AF$3</definedName>
    <definedName name="外部資料_228" localSheetId="17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4">PKA!#REF!</definedName>
    <definedName name="外部資料_229" localSheetId="15">PKB!#REF!</definedName>
    <definedName name="外部資料_229" localSheetId="16">PKC!#REF!</definedName>
    <definedName name="外部資料_229" localSheetId="7">PSR!#REF!</definedName>
    <definedName name="外部資料_229" localSheetId="3">評比系統!$T$1:$AF$3</definedName>
    <definedName name="外部資料_229" localSheetId="17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4">PKA!#REF!</definedName>
    <definedName name="外部資料_23" localSheetId="15">PKB!#REF!</definedName>
    <definedName name="外部資料_23" localSheetId="16">PKC!#REF!</definedName>
    <definedName name="外部資料_23" localSheetId="7">PSR!#REF!</definedName>
    <definedName name="外部資料_23" localSheetId="2">紅綠燈!#REF!</definedName>
    <definedName name="外部資料_23" localSheetId="3">評比系統!#REF!</definedName>
    <definedName name="外部資料_23" localSheetId="9">葛林公式!$M$1:$W$61</definedName>
    <definedName name="外部資料_23" localSheetId="17">福邦!#REF!</definedName>
    <definedName name="外部資料_23" localSheetId="4">篩股系統!#REF!</definedName>
    <definedName name="外部資料_23" localSheetId="6">營收搶先報!#REF!</definedName>
    <definedName name="外部資料_230" localSheetId="14">PKA!#REF!</definedName>
    <definedName name="外部資料_230" localSheetId="15">PKB!#REF!</definedName>
    <definedName name="外部資料_230" localSheetId="16">PKC!#REF!</definedName>
    <definedName name="外部資料_230" localSheetId="7">PSR!#REF!</definedName>
    <definedName name="外部資料_230" localSheetId="3">評比系統!$T$1:$AF$3</definedName>
    <definedName name="外部資料_230" localSheetId="17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4">PKA!#REF!</definedName>
    <definedName name="外部資料_231" localSheetId="15">PKB!#REF!</definedName>
    <definedName name="外部資料_231" localSheetId="16">PKC!#REF!</definedName>
    <definedName name="外部資料_231" localSheetId="7">PSR!#REF!</definedName>
    <definedName name="外部資料_231" localSheetId="3">評比系統!$T$1:$AF$3</definedName>
    <definedName name="外部資料_231" localSheetId="17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4">PKA!#REF!</definedName>
    <definedName name="外部資料_232" localSheetId="15">PKB!#REF!</definedName>
    <definedName name="外部資料_232" localSheetId="16">PKC!#REF!</definedName>
    <definedName name="外部資料_232" localSheetId="7">PSR!#REF!</definedName>
    <definedName name="外部資料_232" localSheetId="3">評比系統!$T$1:$AF$3</definedName>
    <definedName name="外部資料_232" localSheetId="17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4">PKA!#REF!</definedName>
    <definedName name="外部資料_233" localSheetId="15">PKB!#REF!</definedName>
    <definedName name="外部資料_233" localSheetId="16">PKC!#REF!</definedName>
    <definedName name="外部資料_233" localSheetId="7">PSR!#REF!</definedName>
    <definedName name="外部資料_233" localSheetId="3">評比系統!$T$1:$AF$3</definedName>
    <definedName name="外部資料_233" localSheetId="17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4">PKA!#REF!</definedName>
    <definedName name="外部資料_234" localSheetId="15">PKB!#REF!</definedName>
    <definedName name="外部資料_234" localSheetId="16">PKC!#REF!</definedName>
    <definedName name="外部資料_234" localSheetId="7">PSR!#REF!</definedName>
    <definedName name="外部資料_234" localSheetId="3">評比系統!$T$1:$AF$3</definedName>
    <definedName name="外部資料_234" localSheetId="17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4">PKA!#REF!</definedName>
    <definedName name="外部資料_235" localSheetId="15">PKB!#REF!</definedName>
    <definedName name="外部資料_235" localSheetId="16">PKC!#REF!</definedName>
    <definedName name="外部資料_235" localSheetId="7">PSR!#REF!</definedName>
    <definedName name="外部資料_235" localSheetId="3">評比系統!$T$1:$AF$3</definedName>
    <definedName name="外部資料_235" localSheetId="17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4">PKA!#REF!</definedName>
    <definedName name="外部資料_236" localSheetId="15">PKB!#REF!</definedName>
    <definedName name="外部資料_236" localSheetId="16">PKC!#REF!</definedName>
    <definedName name="外部資料_236" localSheetId="7">PSR!#REF!</definedName>
    <definedName name="外部資料_236" localSheetId="3">評比系統!$T$1:$AF$3</definedName>
    <definedName name="外部資料_236" localSheetId="17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4">PKA!#REF!</definedName>
    <definedName name="外部資料_237" localSheetId="15">PKB!#REF!</definedName>
    <definedName name="外部資料_237" localSheetId="16">PKC!#REF!</definedName>
    <definedName name="外部資料_237" localSheetId="7">PSR!#REF!</definedName>
    <definedName name="外部資料_237" localSheetId="3">評比系統!$T$1:$AF$3</definedName>
    <definedName name="外部資料_237" localSheetId="17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4">PKA!#REF!</definedName>
    <definedName name="外部資料_238" localSheetId="15">PKB!#REF!</definedName>
    <definedName name="外部資料_238" localSheetId="16">PKC!#REF!</definedName>
    <definedName name="外部資料_238" localSheetId="7">PSR!#REF!</definedName>
    <definedName name="外部資料_238" localSheetId="3">評比系統!$T$1:$AF$3</definedName>
    <definedName name="外部資料_238" localSheetId="17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4">PKA!#REF!</definedName>
    <definedName name="外部資料_239" localSheetId="15">PKB!#REF!</definedName>
    <definedName name="外部資料_239" localSheetId="16">PKC!#REF!</definedName>
    <definedName name="外部資料_239" localSheetId="7">PSR!#REF!</definedName>
    <definedName name="外部資料_239" localSheetId="3">評比系統!$T$1:$AF$3</definedName>
    <definedName name="外部資料_239" localSheetId="17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4">PKA!#REF!</definedName>
    <definedName name="外部資料_24" localSheetId="15">PKB!#REF!</definedName>
    <definedName name="外部資料_24" localSheetId="16">PKC!#REF!</definedName>
    <definedName name="外部資料_24" localSheetId="7">PSR!#REF!</definedName>
    <definedName name="外部資料_24" localSheetId="2">紅綠燈!#REF!</definedName>
    <definedName name="外部資料_24" localSheetId="3">評比系統!#REF!</definedName>
    <definedName name="外部資料_24" localSheetId="9">葛林公式!$M$1:$W$61</definedName>
    <definedName name="外部資料_24" localSheetId="17">福邦!#REF!</definedName>
    <definedName name="外部資料_24" localSheetId="4">篩股系統!#REF!</definedName>
    <definedName name="外部資料_24" localSheetId="6">營收搶先報!#REF!</definedName>
    <definedName name="外部資料_240" localSheetId="14">PKA!#REF!</definedName>
    <definedName name="外部資料_240" localSheetId="15">PKB!#REF!</definedName>
    <definedName name="外部資料_240" localSheetId="16">PKC!#REF!</definedName>
    <definedName name="外部資料_240" localSheetId="7">PSR!#REF!</definedName>
    <definedName name="外部資料_240" localSheetId="3">評比系統!$T$1:$AF$3</definedName>
    <definedName name="外部資料_240" localSheetId="17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4">PKA!#REF!</definedName>
    <definedName name="外部資料_241" localSheetId="15">PKB!#REF!</definedName>
    <definedName name="外部資料_241" localSheetId="16">PKC!#REF!</definedName>
    <definedName name="外部資料_241" localSheetId="7">PSR!#REF!</definedName>
    <definedName name="外部資料_241" localSheetId="3">評比系統!$T$1:$AF$3</definedName>
    <definedName name="外部資料_241" localSheetId="17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4">PKA!#REF!</definedName>
    <definedName name="外部資料_242" localSheetId="15">PKB!#REF!</definedName>
    <definedName name="外部資料_242" localSheetId="16">PKC!#REF!</definedName>
    <definedName name="外部資料_242" localSheetId="7">PSR!#REF!</definedName>
    <definedName name="外部資料_242" localSheetId="3">評比系統!$T$1:$AF$3</definedName>
    <definedName name="外部資料_242" localSheetId="17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4">PKA!#REF!</definedName>
    <definedName name="外部資料_243" localSheetId="15">PKB!#REF!</definedName>
    <definedName name="外部資料_243" localSheetId="16">PKC!#REF!</definedName>
    <definedName name="外部資料_243" localSheetId="7">PSR!#REF!</definedName>
    <definedName name="外部資料_243" localSheetId="3">評比系統!$T$1:$AF$3</definedName>
    <definedName name="外部資料_243" localSheetId="17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4">PKA!#REF!</definedName>
    <definedName name="外部資料_244" localSheetId="15">PKB!#REF!</definedName>
    <definedName name="外部資料_244" localSheetId="16">PKC!#REF!</definedName>
    <definedName name="外部資料_244" localSheetId="7">PSR!#REF!</definedName>
    <definedName name="外部資料_244" localSheetId="3">評比系統!$T$1:$AF$3</definedName>
    <definedName name="外部資料_244" localSheetId="17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4">PKA!#REF!</definedName>
    <definedName name="外部資料_245" localSheetId="15">PKB!#REF!</definedName>
    <definedName name="外部資料_245" localSheetId="16">PKC!#REF!</definedName>
    <definedName name="外部資料_245" localSheetId="7">PSR!#REF!</definedName>
    <definedName name="外部資料_245" localSheetId="3">評比系統!$T$1:$AF$3</definedName>
    <definedName name="外部資料_245" localSheetId="17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4">PKA!#REF!</definedName>
    <definedName name="外部資料_246" localSheetId="15">PKB!#REF!</definedName>
    <definedName name="外部資料_246" localSheetId="16">PKC!#REF!</definedName>
    <definedName name="外部資料_246" localSheetId="7">PSR!#REF!</definedName>
    <definedName name="外部資料_246" localSheetId="3">評比系統!$T$1:$AF$3</definedName>
    <definedName name="外部資料_246" localSheetId="17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4">PKA!#REF!</definedName>
    <definedName name="外部資料_247" localSheetId="15">PKB!#REF!</definedName>
    <definedName name="外部資料_247" localSheetId="16">PKC!#REF!</definedName>
    <definedName name="外部資料_247" localSheetId="7">PSR!#REF!</definedName>
    <definedName name="外部資料_247" localSheetId="3">評比系統!$T$1:$AF$3</definedName>
    <definedName name="外部資料_247" localSheetId="17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4">PKA!#REF!</definedName>
    <definedName name="外部資料_248" localSheetId="15">PKB!#REF!</definedName>
    <definedName name="外部資料_248" localSheetId="16">PKC!#REF!</definedName>
    <definedName name="外部資料_248" localSheetId="7">PSR!#REF!</definedName>
    <definedName name="外部資料_248" localSheetId="3">評比系統!$T$1:$AF$3</definedName>
    <definedName name="外部資料_248" localSheetId="17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4">PKA!#REF!</definedName>
    <definedName name="外部資料_249" localSheetId="15">PKB!#REF!</definedName>
    <definedName name="外部資料_249" localSheetId="16">PKC!#REF!</definedName>
    <definedName name="外部資料_249" localSheetId="7">PSR!#REF!</definedName>
    <definedName name="外部資料_249" localSheetId="3">評比系統!$T$1:$AF$3</definedName>
    <definedName name="外部資料_249" localSheetId="17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4">PKA!#REF!</definedName>
    <definedName name="外部資料_25" localSheetId="15">PKB!#REF!</definedName>
    <definedName name="外部資料_25" localSheetId="16">PKC!#REF!</definedName>
    <definedName name="外部資料_25" localSheetId="7">PSR!#REF!</definedName>
    <definedName name="外部資料_25" localSheetId="2">紅綠燈!#REF!</definedName>
    <definedName name="外部資料_25" localSheetId="3">評比系統!#REF!</definedName>
    <definedName name="外部資料_25" localSheetId="9">葛林公式!$M$1:$W$61</definedName>
    <definedName name="外部資料_25" localSheetId="17">福邦!#REF!</definedName>
    <definedName name="外部資料_25" localSheetId="4">篩股系統!#REF!</definedName>
    <definedName name="外部資料_25" localSheetId="6">營收搶先報!#REF!</definedName>
    <definedName name="外部資料_250" localSheetId="14">PKA!#REF!</definedName>
    <definedName name="外部資料_250" localSheetId="15">PKB!#REF!</definedName>
    <definedName name="外部資料_250" localSheetId="16">PKC!#REF!</definedName>
    <definedName name="外部資料_250" localSheetId="7">PSR!#REF!</definedName>
    <definedName name="外部資料_250" localSheetId="3">評比系統!$T$1:$AF$3</definedName>
    <definedName name="外部資料_250" localSheetId="17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4">PKA!#REF!</definedName>
    <definedName name="外部資料_251" localSheetId="15">PKB!#REF!</definedName>
    <definedName name="外部資料_251" localSheetId="16">PKC!#REF!</definedName>
    <definedName name="外部資料_251" localSheetId="7">PSR!#REF!</definedName>
    <definedName name="外部資料_251" localSheetId="3">評比系統!$T$1:$AF$3</definedName>
    <definedName name="外部資料_251" localSheetId="17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4">PKA!#REF!</definedName>
    <definedName name="外部資料_252" localSheetId="15">PKB!#REF!</definedName>
    <definedName name="外部資料_252" localSheetId="16">PKC!#REF!</definedName>
    <definedName name="外部資料_252" localSheetId="7">PSR!#REF!</definedName>
    <definedName name="外部資料_252" localSheetId="3">評比系統!$T$1:$AF$3</definedName>
    <definedName name="外部資料_252" localSheetId="17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4">PKA!#REF!</definedName>
    <definedName name="外部資料_253" localSheetId="15">PKB!#REF!</definedName>
    <definedName name="外部資料_253" localSheetId="16">PKC!#REF!</definedName>
    <definedName name="外部資料_253" localSheetId="7">PSR!#REF!</definedName>
    <definedName name="外部資料_253" localSheetId="3">評比系統!$T$1:$AF$3</definedName>
    <definedName name="外部資料_253" localSheetId="17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4">PKA!#REF!</definedName>
    <definedName name="外部資料_254" localSheetId="15">PKB!#REF!</definedName>
    <definedName name="外部資料_254" localSheetId="16">PKC!#REF!</definedName>
    <definedName name="外部資料_254" localSheetId="7">PSR!#REF!</definedName>
    <definedName name="外部資料_254" localSheetId="3">評比系統!$T$1:$AF$3</definedName>
    <definedName name="外部資料_254" localSheetId="17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4">PKA!#REF!</definedName>
    <definedName name="外部資料_255" localSheetId="15">PKB!#REF!</definedName>
    <definedName name="外部資料_255" localSheetId="16">PKC!#REF!</definedName>
    <definedName name="外部資料_255" localSheetId="7">PSR!#REF!</definedName>
    <definedName name="外部資料_255" localSheetId="3">評比系統!$T$1:$AF$3</definedName>
    <definedName name="外部資料_255" localSheetId="17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4">PKA!#REF!</definedName>
    <definedName name="外部資料_256" localSheetId="15">PKB!#REF!</definedName>
    <definedName name="外部資料_256" localSheetId="16">PKC!#REF!</definedName>
    <definedName name="外部資料_256" localSheetId="7">PSR!#REF!</definedName>
    <definedName name="外部資料_256" localSheetId="3">評比系統!$T$1:$AF$3</definedName>
    <definedName name="外部資料_256" localSheetId="17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4">PKA!#REF!</definedName>
    <definedName name="外部資料_257" localSheetId="15">PKB!#REF!</definedName>
    <definedName name="外部資料_257" localSheetId="16">PKC!#REF!</definedName>
    <definedName name="外部資料_257" localSheetId="7">PSR!#REF!</definedName>
    <definedName name="外部資料_257" localSheetId="3">評比系統!$T$1:$AF$3</definedName>
    <definedName name="外部資料_257" localSheetId="17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4">PKA!#REF!</definedName>
    <definedName name="外部資料_258" localSheetId="15">PKB!#REF!</definedName>
    <definedName name="外部資料_258" localSheetId="16">PKC!#REF!</definedName>
    <definedName name="外部資料_258" localSheetId="7">PSR!#REF!</definedName>
    <definedName name="外部資料_258" localSheetId="3">評比系統!$T$1:$AF$3</definedName>
    <definedName name="外部資料_258" localSheetId="17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4">PKA!#REF!</definedName>
    <definedName name="外部資料_259" localSheetId="15">PKB!#REF!</definedName>
    <definedName name="外部資料_259" localSheetId="16">PKC!#REF!</definedName>
    <definedName name="外部資料_259" localSheetId="7">PSR!#REF!</definedName>
    <definedName name="外部資料_259" localSheetId="3">評比系統!$T$1:$AF$3</definedName>
    <definedName name="外部資料_259" localSheetId="17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4">PKA!#REF!</definedName>
    <definedName name="外部資料_26" localSheetId="15">PKB!#REF!</definedName>
    <definedName name="外部資料_26" localSheetId="16">PKC!#REF!</definedName>
    <definedName name="外部資料_26" localSheetId="7">PSR!#REF!</definedName>
    <definedName name="外部資料_26" localSheetId="2">紅綠燈!#REF!</definedName>
    <definedName name="外部資料_26" localSheetId="3">評比系統!#REF!</definedName>
    <definedName name="外部資料_26" localSheetId="9">葛林公式!$M$1:$W$61</definedName>
    <definedName name="外部資料_26" localSheetId="17">福邦!#REF!</definedName>
    <definedName name="外部資料_26" localSheetId="4">篩股系統!#REF!</definedName>
    <definedName name="外部資料_26" localSheetId="6">營收搶先報!#REF!</definedName>
    <definedName name="外部資料_260" localSheetId="14">PKA!#REF!</definedName>
    <definedName name="外部資料_260" localSheetId="15">PKB!#REF!</definedName>
    <definedName name="外部資料_260" localSheetId="16">PKC!#REF!</definedName>
    <definedName name="外部資料_260" localSheetId="7">PSR!#REF!</definedName>
    <definedName name="外部資料_260" localSheetId="3">評比系統!$T$1:$AF$3</definedName>
    <definedName name="外部資料_260" localSheetId="17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4">PKA!#REF!</definedName>
    <definedName name="外部資料_261" localSheetId="15">PKB!#REF!</definedName>
    <definedName name="外部資料_261" localSheetId="16">PKC!#REF!</definedName>
    <definedName name="外部資料_261" localSheetId="7">PSR!#REF!</definedName>
    <definedName name="外部資料_261" localSheetId="3">評比系統!$T$1:$AF$3</definedName>
    <definedName name="外部資料_261" localSheetId="17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4">PKA!#REF!</definedName>
    <definedName name="外部資料_262" localSheetId="15">PKB!#REF!</definedName>
    <definedName name="外部資料_262" localSheetId="16">PKC!#REF!</definedName>
    <definedName name="外部資料_262" localSheetId="7">PSR!#REF!</definedName>
    <definedName name="外部資料_262" localSheetId="3">評比系統!$T$1:$AF$3</definedName>
    <definedName name="外部資料_262" localSheetId="17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4">PKA!#REF!</definedName>
    <definedName name="外部資料_263" localSheetId="15">PKB!#REF!</definedName>
    <definedName name="外部資料_263" localSheetId="16">PKC!#REF!</definedName>
    <definedName name="外部資料_263" localSheetId="7">PSR!#REF!</definedName>
    <definedName name="外部資料_263" localSheetId="3">評比系統!$T$1:$AF$3</definedName>
    <definedName name="外部資料_263" localSheetId="17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4">PKA!#REF!</definedName>
    <definedName name="外部資料_264" localSheetId="15">PKB!#REF!</definedName>
    <definedName name="外部資料_264" localSheetId="16">PKC!#REF!</definedName>
    <definedName name="外部資料_264" localSheetId="7">PSR!#REF!</definedName>
    <definedName name="外部資料_264" localSheetId="3">評比系統!$T$1:$AF$3</definedName>
    <definedName name="外部資料_264" localSheetId="17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4">PKA!#REF!</definedName>
    <definedName name="外部資料_265" localSheetId="15">PKB!#REF!</definedName>
    <definedName name="外部資料_265" localSheetId="16">PKC!#REF!</definedName>
    <definedName name="外部資料_265" localSheetId="7">PSR!#REF!</definedName>
    <definedName name="外部資料_265" localSheetId="3">評比系統!$T$1:$AF$3</definedName>
    <definedName name="外部資料_265" localSheetId="17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4">PKA!#REF!</definedName>
    <definedName name="外部資料_266" localSheetId="15">PKB!#REF!</definedName>
    <definedName name="外部資料_266" localSheetId="16">PKC!#REF!</definedName>
    <definedName name="外部資料_266" localSheetId="7">PSR!#REF!</definedName>
    <definedName name="外部資料_266" localSheetId="3">評比系統!$T$1:$AF$3</definedName>
    <definedName name="外部資料_266" localSheetId="17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4">PKA!#REF!</definedName>
    <definedName name="外部資料_267" localSheetId="15">PKB!#REF!</definedName>
    <definedName name="外部資料_267" localSheetId="16">PKC!#REF!</definedName>
    <definedName name="外部資料_267" localSheetId="7">PSR!#REF!</definedName>
    <definedName name="外部資料_267" localSheetId="3">評比系統!$T$1:$AF$3</definedName>
    <definedName name="外部資料_267" localSheetId="17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4">PKA!#REF!</definedName>
    <definedName name="外部資料_268" localSheetId="15">PKB!#REF!</definedName>
    <definedName name="外部資料_268" localSheetId="16">PKC!#REF!</definedName>
    <definedName name="外部資料_268" localSheetId="7">PSR!#REF!</definedName>
    <definedName name="外部資料_268" localSheetId="3">評比系統!$T$1:$AF$3</definedName>
    <definedName name="外部資料_268" localSheetId="17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4">PKA!#REF!</definedName>
    <definedName name="外部資料_269" localSheetId="15">PKB!#REF!</definedName>
    <definedName name="外部資料_269" localSheetId="16">PKC!#REF!</definedName>
    <definedName name="外部資料_269" localSheetId="7">PSR!#REF!</definedName>
    <definedName name="外部資料_269" localSheetId="3">評比系統!$T$1:$AF$3</definedName>
    <definedName name="外部資料_269" localSheetId="17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4">PKA!#REF!</definedName>
    <definedName name="外部資料_27" localSheetId="15">PKB!#REF!</definedName>
    <definedName name="外部資料_27" localSheetId="16">PKC!#REF!</definedName>
    <definedName name="外部資料_27" localSheetId="7">PSR!#REF!</definedName>
    <definedName name="外部資料_27" localSheetId="3">評比系統!#REF!</definedName>
    <definedName name="外部資料_27" localSheetId="9">葛林公式!$M$1:$W$61</definedName>
    <definedName name="外部資料_27" localSheetId="17">福邦!#REF!</definedName>
    <definedName name="外部資料_27" localSheetId="4">篩股系統!#REF!</definedName>
    <definedName name="外部資料_27" localSheetId="6">營收搶先報!#REF!</definedName>
    <definedName name="外部資料_270" localSheetId="14">PKA!#REF!</definedName>
    <definedName name="外部資料_270" localSheetId="15">PKB!#REF!</definedName>
    <definedName name="外部資料_270" localSheetId="16">PKC!#REF!</definedName>
    <definedName name="外部資料_270" localSheetId="7">PSR!#REF!</definedName>
    <definedName name="外部資料_270" localSheetId="3">評比系統!$T$1:$AF$3</definedName>
    <definedName name="外部資料_270" localSheetId="17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4">PKA!#REF!</definedName>
    <definedName name="外部資料_271" localSheetId="15">PKB!#REF!</definedName>
    <definedName name="外部資料_271" localSheetId="16">PKC!#REF!</definedName>
    <definedName name="外部資料_271" localSheetId="7">PSR!#REF!</definedName>
    <definedName name="外部資料_271" localSheetId="3">評比系統!$T$1:$AF$3</definedName>
    <definedName name="外部資料_271" localSheetId="17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4">PKA!#REF!</definedName>
    <definedName name="外部資料_272" localSheetId="15">PKB!#REF!</definedName>
    <definedName name="外部資料_272" localSheetId="16">PKC!#REF!</definedName>
    <definedName name="外部資料_272" localSheetId="7">PSR!#REF!</definedName>
    <definedName name="外部資料_272" localSheetId="3">評比系統!$T$1:$AF$3</definedName>
    <definedName name="外部資料_272" localSheetId="17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4">PKA!#REF!</definedName>
    <definedName name="外部資料_273" localSheetId="15">PKB!#REF!</definedName>
    <definedName name="外部資料_273" localSheetId="16">PKC!#REF!</definedName>
    <definedName name="外部資料_273" localSheetId="7">PSR!#REF!</definedName>
    <definedName name="外部資料_273" localSheetId="3">評比系統!$T$1:$AF$3</definedName>
    <definedName name="外部資料_273" localSheetId="17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4">PKA!#REF!</definedName>
    <definedName name="外部資料_274" localSheetId="15">PKB!#REF!</definedName>
    <definedName name="外部資料_274" localSheetId="16">PKC!#REF!</definedName>
    <definedName name="外部資料_274" localSheetId="7">PSR!#REF!</definedName>
    <definedName name="外部資料_274" localSheetId="3">評比系統!$T$1:$AF$3</definedName>
    <definedName name="外部資料_274" localSheetId="17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4">PKA!#REF!</definedName>
    <definedName name="外部資料_275" localSheetId="15">PKB!#REF!</definedName>
    <definedName name="外部資料_275" localSheetId="16">PKC!#REF!</definedName>
    <definedName name="外部資料_275" localSheetId="7">PSR!#REF!</definedName>
    <definedName name="外部資料_275" localSheetId="3">評比系統!$T$1:$AF$3</definedName>
    <definedName name="外部資料_275" localSheetId="17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4">PKA!#REF!</definedName>
    <definedName name="外部資料_276" localSheetId="15">PKB!#REF!</definedName>
    <definedName name="外部資料_276" localSheetId="16">PKC!#REF!</definedName>
    <definedName name="外部資料_276" localSheetId="7">PSR!#REF!</definedName>
    <definedName name="外部資料_276" localSheetId="3">評比系統!$T$1:$AF$3</definedName>
    <definedName name="外部資料_276" localSheetId="17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4">PKA!#REF!</definedName>
    <definedName name="外部資料_277" localSheetId="15">PKB!#REF!</definedName>
    <definedName name="外部資料_277" localSheetId="16">PKC!#REF!</definedName>
    <definedName name="外部資料_277" localSheetId="7">PSR!#REF!</definedName>
    <definedName name="外部資料_277" localSheetId="3">評比系統!$T$1:$AF$3</definedName>
    <definedName name="外部資料_277" localSheetId="17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4">PKA!#REF!</definedName>
    <definedName name="外部資料_278" localSheetId="15">PKB!#REF!</definedName>
    <definedName name="外部資料_278" localSheetId="16">PKC!#REF!</definedName>
    <definedName name="外部資料_278" localSheetId="7">PSR!#REF!</definedName>
    <definedName name="外部資料_278" localSheetId="3">評比系統!$T$1:$AF$3</definedName>
    <definedName name="外部資料_278" localSheetId="17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4">篩股系統!$D$3:$H$60</definedName>
    <definedName name="外部資料_2789" localSheetId="2">紅綠燈!#REF!</definedName>
    <definedName name="外部資料_279" localSheetId="14">PKA!#REF!</definedName>
    <definedName name="外部資料_279" localSheetId="15">PKB!#REF!</definedName>
    <definedName name="外部資料_279" localSheetId="16">PKC!#REF!</definedName>
    <definedName name="外部資料_279" localSheetId="7">PSR!#REF!</definedName>
    <definedName name="外部資料_279" localSheetId="3">評比系統!$T$1:$AF$3</definedName>
    <definedName name="外部資料_279" localSheetId="17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4">PKA!#REF!</definedName>
    <definedName name="外部資料_28" localSheetId="15">PKB!#REF!</definedName>
    <definedName name="外部資料_28" localSheetId="16">PKC!#REF!</definedName>
    <definedName name="外部資料_28" localSheetId="7">PSR!#REF!</definedName>
    <definedName name="外部資料_28" localSheetId="2">紅綠燈!#REF!</definedName>
    <definedName name="外部資料_28" localSheetId="3">評比系統!#REF!</definedName>
    <definedName name="外部資料_28" localSheetId="9">葛林公式!$M$1:$W$61</definedName>
    <definedName name="外部資料_28" localSheetId="17">福邦!#REF!</definedName>
    <definedName name="外部資料_28" localSheetId="4">篩股系統!#REF!</definedName>
    <definedName name="外部資料_28" localSheetId="6">營收搶先報!#REF!</definedName>
    <definedName name="外部資料_280" localSheetId="14">PKA!#REF!</definedName>
    <definedName name="外部資料_280" localSheetId="15">PKB!#REF!</definedName>
    <definedName name="外部資料_280" localSheetId="16">PKC!#REF!</definedName>
    <definedName name="外部資料_280" localSheetId="7">PSR!#REF!</definedName>
    <definedName name="外部資料_280" localSheetId="3">評比系統!$T$1:$AF$3</definedName>
    <definedName name="外部資料_280" localSheetId="17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4">PKA!#REF!</definedName>
    <definedName name="外部資料_281" localSheetId="15">PKB!#REF!</definedName>
    <definedName name="外部資料_281" localSheetId="16">PKC!#REF!</definedName>
    <definedName name="外部資料_281" localSheetId="7">PSR!#REF!</definedName>
    <definedName name="外部資料_281" localSheetId="3">評比系統!$T$1:$AF$3</definedName>
    <definedName name="外部資料_281" localSheetId="17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4">篩股系統!$D$3:$H$60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4">PKA!#REF!</definedName>
    <definedName name="外部資料_282" localSheetId="15">PKB!#REF!</definedName>
    <definedName name="外部資料_282" localSheetId="16">PKC!#REF!</definedName>
    <definedName name="外部資料_282" localSheetId="7">PSR!#REF!</definedName>
    <definedName name="外部資料_282" localSheetId="3">評比系統!$T$1:$AF$3</definedName>
    <definedName name="外部資料_282" localSheetId="17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4">PKA!#REF!</definedName>
    <definedName name="外部資料_283" localSheetId="15">PKB!#REF!</definedName>
    <definedName name="外部資料_283" localSheetId="16">PKC!#REF!</definedName>
    <definedName name="外部資料_283" localSheetId="7">PSR!#REF!</definedName>
    <definedName name="外部資料_283" localSheetId="3">評比系統!$T$1:$AF$3</definedName>
    <definedName name="外部資料_283" localSheetId="17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4">篩股系統!$D$3:$H$60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4">篩股系統!$D$3:$H$60</definedName>
    <definedName name="外部資料_284" localSheetId="14">PKA!#REF!</definedName>
    <definedName name="外部資料_284" localSheetId="15">PKB!#REF!</definedName>
    <definedName name="外部資料_284" localSheetId="16">PKC!#REF!</definedName>
    <definedName name="外部資料_284" localSheetId="7">PSR!#REF!</definedName>
    <definedName name="外部資料_284" localSheetId="3">評比系統!$T$1:$AF$3</definedName>
    <definedName name="外部資料_284" localSheetId="17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4">PKA!#REF!</definedName>
    <definedName name="外部資料_285" localSheetId="15">PKB!#REF!</definedName>
    <definedName name="外部資料_285" localSheetId="16">PKC!#REF!</definedName>
    <definedName name="外部資料_285" localSheetId="3">評比系統!$T$1:$AF$3</definedName>
    <definedName name="外部資料_285" localSheetId="17">福邦!#REF!</definedName>
    <definedName name="外部資料_2850" localSheetId="2">紅綠燈!#REF!</definedName>
    <definedName name="外部資料_2850" localSheetId="4">篩股系統!$D$3:$H$60</definedName>
    <definedName name="外部資料_2852" localSheetId="2">紅綠燈!#REF!</definedName>
    <definedName name="外部資料_2853" localSheetId="2">紅綠燈!#REF!</definedName>
    <definedName name="外部資料_2853" localSheetId="4">篩股系統!$D$3:$H$60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4">PKA!#REF!</definedName>
    <definedName name="外部資料_286" localSheetId="15">PKB!#REF!</definedName>
    <definedName name="外部資料_286" localSheetId="16">PKC!#REF!</definedName>
    <definedName name="外部資料_286" localSheetId="3">評比系統!$T$1:$AF$3</definedName>
    <definedName name="外部資料_286" localSheetId="17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4">PKA!#REF!</definedName>
    <definedName name="外部資料_287" localSheetId="15">PKB!#REF!</definedName>
    <definedName name="外部資料_287" localSheetId="16">PKC!#REF!</definedName>
    <definedName name="外部資料_287" localSheetId="3">評比系統!$T$1:$AF$3</definedName>
    <definedName name="外部資料_287" localSheetId="17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4">PKA!#REF!</definedName>
    <definedName name="外部資料_288" localSheetId="15">PKB!#REF!</definedName>
    <definedName name="外部資料_288" localSheetId="16">PKC!#REF!</definedName>
    <definedName name="外部資料_288" localSheetId="3">評比系統!$T$1:$AF$3</definedName>
    <definedName name="外部資料_288" localSheetId="17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4">PKA!#REF!</definedName>
    <definedName name="外部資料_289" localSheetId="15">PKB!#REF!</definedName>
    <definedName name="外部資料_289" localSheetId="16">PKC!#REF!</definedName>
    <definedName name="外部資料_289" localSheetId="3">評比系統!$T$1:$AF$3</definedName>
    <definedName name="外部資料_289" localSheetId="17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4">PKA!#REF!</definedName>
    <definedName name="外部資料_29" localSheetId="15">PKB!#REF!</definedName>
    <definedName name="外部資料_29" localSheetId="16">PKC!#REF!</definedName>
    <definedName name="外部資料_29" localSheetId="7">PSR!#REF!</definedName>
    <definedName name="外部資料_29" localSheetId="2">紅綠燈!#REF!</definedName>
    <definedName name="外部資料_29" localSheetId="3">評比系統!#REF!</definedName>
    <definedName name="外部資料_29" localSheetId="9">葛林公式!$M$1:$W$61</definedName>
    <definedName name="外部資料_29" localSheetId="17">福邦!#REF!</definedName>
    <definedName name="外部資料_29" localSheetId="4">篩股系統!#REF!</definedName>
    <definedName name="外部資料_29" localSheetId="6">營收搶先報!#REF!</definedName>
    <definedName name="外部資料_290" localSheetId="14">PKA!#REF!</definedName>
    <definedName name="外部資料_290" localSheetId="15">PKB!#REF!</definedName>
    <definedName name="外部資料_290" localSheetId="16">PKC!#REF!</definedName>
    <definedName name="外部資料_290" localSheetId="3">評比系統!$T$1:$AF$3</definedName>
    <definedName name="外部資料_290" localSheetId="17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4">PKA!#REF!</definedName>
    <definedName name="外部資料_291" localSheetId="15">PKB!#REF!</definedName>
    <definedName name="外部資料_291" localSheetId="16">PKC!#REF!</definedName>
    <definedName name="外部資料_291" localSheetId="3">評比系統!$T$1:$AF$3</definedName>
    <definedName name="外部資料_291" localSheetId="17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4">PKA!#REF!</definedName>
    <definedName name="外部資料_292" localSheetId="15">PKB!#REF!</definedName>
    <definedName name="外部資料_292" localSheetId="16">PKC!#REF!</definedName>
    <definedName name="外部資料_292" localSheetId="3">評比系統!$T$1:$AF$3</definedName>
    <definedName name="外部資料_292" localSheetId="17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4">PKA!#REF!</definedName>
    <definedName name="外部資料_293" localSheetId="15">PKB!#REF!</definedName>
    <definedName name="外部資料_293" localSheetId="16">PKC!#REF!</definedName>
    <definedName name="外部資料_293" localSheetId="3">評比系統!$T$1:$AF$3</definedName>
    <definedName name="外部資料_293" localSheetId="17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4">PKA!#REF!</definedName>
    <definedName name="外部資料_294" localSheetId="15">PKB!#REF!</definedName>
    <definedName name="外部資料_294" localSheetId="16">PKC!#REF!</definedName>
    <definedName name="外部資料_294" localSheetId="3">評比系統!$T$1:$AF$3</definedName>
    <definedName name="外部資料_294" localSheetId="17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4">PKA!#REF!</definedName>
    <definedName name="外部資料_295" localSheetId="15">PKB!#REF!</definedName>
    <definedName name="外部資料_295" localSheetId="16">PKC!#REF!</definedName>
    <definedName name="外部資料_295" localSheetId="3">評比系統!$T$1:$AF$3</definedName>
    <definedName name="外部資料_295" localSheetId="17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4">PKA!#REF!</definedName>
    <definedName name="外部資料_296" localSheetId="15">PKB!#REF!</definedName>
    <definedName name="外部資料_296" localSheetId="16">PKC!#REF!</definedName>
    <definedName name="外部資料_296" localSheetId="3">評比系統!$T$1:$AF$3</definedName>
    <definedName name="外部資料_296" localSheetId="17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4">PKA!#REF!</definedName>
    <definedName name="外部資料_297" localSheetId="15">PKB!#REF!</definedName>
    <definedName name="外部資料_297" localSheetId="16">PKC!#REF!</definedName>
    <definedName name="外部資料_297" localSheetId="3">評比系統!$T$1:$AF$3</definedName>
    <definedName name="外部資料_297" localSheetId="17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4">PKA!#REF!</definedName>
    <definedName name="外部資料_298" localSheetId="15">PKB!#REF!</definedName>
    <definedName name="外部資料_298" localSheetId="16">PKC!#REF!</definedName>
    <definedName name="外部資料_298" localSheetId="3">評比系統!$T$1:$AF$3</definedName>
    <definedName name="外部資料_298" localSheetId="17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4">PKA!#REF!</definedName>
    <definedName name="外部資料_299" localSheetId="15">PKB!#REF!</definedName>
    <definedName name="外部資料_299" localSheetId="16">PKC!#REF!</definedName>
    <definedName name="外部資料_299" localSheetId="3">評比系統!$T$1:$AF$3</definedName>
    <definedName name="外部資料_299" localSheetId="17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4">PKA!#REF!</definedName>
    <definedName name="外部資料_3" localSheetId="15">PKB!#REF!</definedName>
    <definedName name="外部資料_3" localSheetId="16">PKC!#REF!</definedName>
    <definedName name="外部資料_3" localSheetId="7">PSR!#REF!</definedName>
    <definedName name="外部資料_3" localSheetId="2">紅綠燈!#REF!</definedName>
    <definedName name="外部資料_3" localSheetId="3">評比系統!#REF!</definedName>
    <definedName name="外部資料_3" localSheetId="9">葛林公式!$M$1:$W$61</definedName>
    <definedName name="外部資料_3" localSheetId="17">福邦!#REF!</definedName>
    <definedName name="外部資料_3" localSheetId="4">篩股系統!#REF!</definedName>
    <definedName name="外部資料_3" localSheetId="6">營收搶先報!#REF!</definedName>
    <definedName name="外部資料_30" localSheetId="14">PKA!#REF!</definedName>
    <definedName name="外部資料_30" localSheetId="15">PKB!#REF!</definedName>
    <definedName name="外部資料_30" localSheetId="16">PKC!#REF!</definedName>
    <definedName name="外部資料_30" localSheetId="7">PSR!#REF!</definedName>
    <definedName name="外部資料_30" localSheetId="2">紅綠燈!#REF!</definedName>
    <definedName name="外部資料_30" localSheetId="3">評比系統!#REF!</definedName>
    <definedName name="外部資料_30" localSheetId="17">福邦!#REF!</definedName>
    <definedName name="外部資料_30" localSheetId="4">篩股系統!#REF!</definedName>
    <definedName name="外部資料_30" localSheetId="6">營收搶先報!#REF!</definedName>
    <definedName name="外部資料_300" localSheetId="14">PKA!#REF!</definedName>
    <definedName name="外部資料_300" localSheetId="15">PKB!#REF!</definedName>
    <definedName name="外部資料_300" localSheetId="16">PKC!#REF!</definedName>
    <definedName name="外部資料_300" localSheetId="3">評比系統!$T$1:$AF$3</definedName>
    <definedName name="外部資料_300" localSheetId="17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4">PKA!#REF!</definedName>
    <definedName name="外部資料_301" localSheetId="15">PKB!#REF!</definedName>
    <definedName name="外部資料_301" localSheetId="16">PKC!#REF!</definedName>
    <definedName name="外部資料_301" localSheetId="3">評比系統!$T$1:$AF$3</definedName>
    <definedName name="外部資料_301" localSheetId="17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4">PKA!#REF!</definedName>
    <definedName name="外部資料_302" localSheetId="15">PKB!#REF!</definedName>
    <definedName name="外部資料_302" localSheetId="16">PKC!#REF!</definedName>
    <definedName name="外部資料_302" localSheetId="3">評比系統!$T$1:$AF$3</definedName>
    <definedName name="外部資料_302" localSheetId="17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4">PKA!#REF!</definedName>
    <definedName name="外部資料_303" localSheetId="15">PKB!#REF!</definedName>
    <definedName name="外部資料_303" localSheetId="16">PKC!#REF!</definedName>
    <definedName name="外部資料_303" localSheetId="3">評比系統!$T$1:$AF$3</definedName>
    <definedName name="外部資料_303" localSheetId="17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4">PKA!#REF!</definedName>
    <definedName name="外部資料_304" localSheetId="15">PKB!#REF!</definedName>
    <definedName name="外部資料_304" localSheetId="16">PKC!#REF!</definedName>
    <definedName name="外部資料_304" localSheetId="3">評比系統!$T$1:$AF$3</definedName>
    <definedName name="外部資料_304" localSheetId="17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4">PKA!#REF!</definedName>
    <definedName name="外部資料_305" localSheetId="15">PKB!#REF!</definedName>
    <definedName name="外部資料_305" localSheetId="16">PKC!#REF!</definedName>
    <definedName name="外部資料_305" localSheetId="3">評比系統!$T$1:$AF$3</definedName>
    <definedName name="外部資料_305" localSheetId="17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4">PKA!#REF!</definedName>
    <definedName name="外部資料_306" localSheetId="15">PKB!#REF!</definedName>
    <definedName name="外部資料_306" localSheetId="16">PKC!#REF!</definedName>
    <definedName name="外部資料_306" localSheetId="3">評比系統!$T$1:$AF$3</definedName>
    <definedName name="外部資料_306" localSheetId="17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4">PKA!#REF!</definedName>
    <definedName name="外部資料_307" localSheetId="15">PKB!#REF!</definedName>
    <definedName name="外部資料_307" localSheetId="16">PKC!#REF!</definedName>
    <definedName name="外部資料_307" localSheetId="3">評比系統!$T$1:$AF$3</definedName>
    <definedName name="外部資料_307" localSheetId="17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4">PKA!#REF!</definedName>
    <definedName name="外部資料_308" localSheetId="15">PKB!#REF!</definedName>
    <definedName name="外部資料_308" localSheetId="16">PKC!#REF!</definedName>
    <definedName name="外部資料_308" localSheetId="3">評比系統!$T$1:$AF$3</definedName>
    <definedName name="外部資料_308" localSheetId="17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4">PKA!#REF!</definedName>
    <definedName name="外部資料_309" localSheetId="15">PKB!#REF!</definedName>
    <definedName name="外部資料_309" localSheetId="16">PKC!#REF!</definedName>
    <definedName name="外部資料_309" localSheetId="3">評比系統!$T$1:$AF$3</definedName>
    <definedName name="外部資料_309" localSheetId="17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4">PKA!#REF!</definedName>
    <definedName name="外部資料_31" localSheetId="15">PKB!#REF!</definedName>
    <definedName name="外部資料_31" localSheetId="16">PKC!#REF!</definedName>
    <definedName name="外部資料_31" localSheetId="7">PSR!#REF!</definedName>
    <definedName name="外部資料_31" localSheetId="3">評比系統!#REF!</definedName>
    <definedName name="外部資料_31" localSheetId="17">福邦!#REF!</definedName>
    <definedName name="外部資料_31" localSheetId="4">篩股系統!#REF!</definedName>
    <definedName name="外部資料_31" localSheetId="6">營收搶先報!#REF!</definedName>
    <definedName name="外部資料_310" localSheetId="14">PKA!#REF!</definedName>
    <definedName name="外部資料_310" localSheetId="15">PKB!#REF!</definedName>
    <definedName name="外部資料_310" localSheetId="16">PKC!#REF!</definedName>
    <definedName name="外部資料_310" localSheetId="3">評比系統!$T$1:$AF$3</definedName>
    <definedName name="外部資料_310" localSheetId="17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4">PKA!#REF!</definedName>
    <definedName name="外部資料_311" localSheetId="15">PKB!#REF!</definedName>
    <definedName name="外部資料_311" localSheetId="16">PKC!#REF!</definedName>
    <definedName name="外部資料_311" localSheetId="3">評比系統!$T$1:$AF$3</definedName>
    <definedName name="外部資料_311" localSheetId="17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4">PKA!#REF!</definedName>
    <definedName name="外部資料_312" localSheetId="15">PKB!#REF!</definedName>
    <definedName name="外部資料_312" localSheetId="16">PKC!#REF!</definedName>
    <definedName name="外部資料_312" localSheetId="3">評比系統!$T$1:$AF$3</definedName>
    <definedName name="外部資料_312" localSheetId="17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4">PKA!#REF!</definedName>
    <definedName name="外部資料_313" localSheetId="15">PKB!#REF!</definedName>
    <definedName name="外部資料_313" localSheetId="16">PKC!#REF!</definedName>
    <definedName name="外部資料_313" localSheetId="3">評比系統!$T$1:$AF$3</definedName>
    <definedName name="外部資料_313" localSheetId="17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4">PKA!#REF!</definedName>
    <definedName name="外部資料_314" localSheetId="15">PKB!#REF!</definedName>
    <definedName name="外部資料_314" localSheetId="16">PKC!#REF!</definedName>
    <definedName name="外部資料_314" localSheetId="3">評比系統!$T$1:$AF$3</definedName>
    <definedName name="外部資料_314" localSheetId="17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4">PKA!#REF!</definedName>
    <definedName name="外部資料_315" localSheetId="15">PKB!#REF!</definedName>
    <definedName name="外部資料_315" localSheetId="16">PKC!#REF!</definedName>
    <definedName name="外部資料_315" localSheetId="3">評比系統!$T$1:$AF$3</definedName>
    <definedName name="外部資料_315" localSheetId="17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4">PKA!#REF!</definedName>
    <definedName name="外部資料_316" localSheetId="15">PKB!#REF!</definedName>
    <definedName name="外部資料_316" localSheetId="16">PKC!#REF!</definedName>
    <definedName name="外部資料_316" localSheetId="3">評比系統!$T$1:$AF$3</definedName>
    <definedName name="外部資料_316" localSheetId="17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4">PKA!#REF!</definedName>
    <definedName name="外部資料_317" localSheetId="15">PKB!#REF!</definedName>
    <definedName name="外部資料_317" localSheetId="16">PKC!#REF!</definedName>
    <definedName name="外部資料_317" localSheetId="3">評比系統!$T$1:$AF$3</definedName>
    <definedName name="外部資料_317" localSheetId="17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4">PKA!#REF!</definedName>
    <definedName name="外部資料_318" localSheetId="15">PKB!#REF!</definedName>
    <definedName name="外部資料_318" localSheetId="16">PKC!#REF!</definedName>
    <definedName name="外部資料_318" localSheetId="3">評比系統!$T$1:$AF$3</definedName>
    <definedName name="外部資料_318" localSheetId="17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4">PKA!#REF!</definedName>
    <definedName name="外部資料_319" localSheetId="15">PKB!#REF!</definedName>
    <definedName name="外部資料_319" localSheetId="16">PKC!#REF!</definedName>
    <definedName name="外部資料_319" localSheetId="3">評比系統!$T$1:$AF$3</definedName>
    <definedName name="外部資料_319" localSheetId="17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4">PKA!#REF!</definedName>
    <definedName name="外部資料_32" localSheetId="15">PKB!#REF!</definedName>
    <definedName name="外部資料_32" localSheetId="16">PKC!#REF!</definedName>
    <definedName name="外部資料_32" localSheetId="7">PSR!#REF!</definedName>
    <definedName name="外部資料_32" localSheetId="2">紅綠燈!#REF!</definedName>
    <definedName name="外部資料_32" localSheetId="3">評比系統!#REF!</definedName>
    <definedName name="外部資料_32" localSheetId="17">福邦!#REF!</definedName>
    <definedName name="外部資料_32" localSheetId="4">篩股系統!#REF!</definedName>
    <definedName name="外部資料_32" localSheetId="6">營收搶先報!#REF!</definedName>
    <definedName name="外部資料_320" localSheetId="14">PKA!#REF!</definedName>
    <definedName name="外部資料_320" localSheetId="15">PKB!#REF!</definedName>
    <definedName name="外部資料_320" localSheetId="16">PKC!#REF!</definedName>
    <definedName name="外部資料_320" localSheetId="3">評比系統!$T$1:$AF$3</definedName>
    <definedName name="外部資料_320" localSheetId="17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4">PKA!#REF!</definedName>
    <definedName name="外部資料_321" localSheetId="15">PKB!#REF!</definedName>
    <definedName name="外部資料_321" localSheetId="16">PKC!#REF!</definedName>
    <definedName name="外部資料_321" localSheetId="3">評比系統!$T$1:$AF$3</definedName>
    <definedName name="外部資料_321" localSheetId="17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4">PKA!#REF!</definedName>
    <definedName name="外部資料_322" localSheetId="15">PKB!#REF!</definedName>
    <definedName name="外部資料_322" localSheetId="16">PKC!#REF!</definedName>
    <definedName name="外部資料_322" localSheetId="3">評比系統!$T$1:$AF$3</definedName>
    <definedName name="外部資料_322" localSheetId="17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4">PKA!#REF!</definedName>
    <definedName name="外部資料_323" localSheetId="15">PKB!#REF!</definedName>
    <definedName name="外部資料_323" localSheetId="16">PKC!#REF!</definedName>
    <definedName name="外部資料_323" localSheetId="3">評比系統!$T$1:$AF$3</definedName>
    <definedName name="外部資料_323" localSheetId="17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4">PKA!#REF!</definedName>
    <definedName name="外部資料_324" localSheetId="15">PKB!#REF!</definedName>
    <definedName name="外部資料_324" localSheetId="16">PKC!#REF!</definedName>
    <definedName name="外部資料_324" localSheetId="3">評比系統!$T$1:$AF$3</definedName>
    <definedName name="外部資料_324" localSheetId="17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4">PKA!#REF!</definedName>
    <definedName name="外部資料_325" localSheetId="15">PKB!#REF!</definedName>
    <definedName name="外部資料_325" localSheetId="16">PKC!#REF!</definedName>
    <definedName name="外部資料_325" localSheetId="3">評比系統!$T$1:$AF$3</definedName>
    <definedName name="外部資料_325" localSheetId="17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4">PKA!#REF!</definedName>
    <definedName name="外部資料_326" localSheetId="15">PKB!#REF!</definedName>
    <definedName name="外部資料_326" localSheetId="16">PKC!#REF!</definedName>
    <definedName name="外部資料_326" localSheetId="3">評比系統!$T$1:$AF$3</definedName>
    <definedName name="外部資料_326" localSheetId="17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4">PKA!#REF!</definedName>
    <definedName name="外部資料_327" localSheetId="15">PKB!#REF!</definedName>
    <definedName name="外部資料_327" localSheetId="16">PKC!#REF!</definedName>
    <definedName name="外部資料_327" localSheetId="3">評比系統!$T$1:$AF$3</definedName>
    <definedName name="外部資料_327" localSheetId="17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4">PKA!#REF!</definedName>
    <definedName name="外部資料_328" localSheetId="15">PKB!#REF!</definedName>
    <definedName name="外部資料_328" localSheetId="16">PKC!#REF!</definedName>
    <definedName name="外部資料_328" localSheetId="3">評比系統!$T$1:$AF$3</definedName>
    <definedName name="外部資料_328" localSheetId="17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4">PKA!#REF!</definedName>
    <definedName name="外部資料_329" localSheetId="15">PKB!#REF!</definedName>
    <definedName name="外部資料_329" localSheetId="16">PKC!#REF!</definedName>
    <definedName name="外部資料_329" localSheetId="3">評比系統!$T$1:$AF$3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4">PKA!#REF!</definedName>
    <definedName name="外部資料_33" localSheetId="15">PKB!#REF!</definedName>
    <definedName name="外部資料_33" localSheetId="16">PKC!#REF!</definedName>
    <definedName name="外部資料_33" localSheetId="7">PSR!#REF!</definedName>
    <definedName name="外部資料_33" localSheetId="2">紅綠燈!#REF!</definedName>
    <definedName name="外部資料_33" localSheetId="3">評比系統!#REF!</definedName>
    <definedName name="外部資料_33" localSheetId="17">福邦!#REF!</definedName>
    <definedName name="外部資料_33" localSheetId="4">篩股系統!#REF!</definedName>
    <definedName name="外部資料_33" localSheetId="6">營收搶先報!#REF!</definedName>
    <definedName name="外部資料_330" localSheetId="14">PKA!#REF!</definedName>
    <definedName name="外部資料_330" localSheetId="15">PKB!#REF!</definedName>
    <definedName name="外部資料_330" localSheetId="16">PKC!#REF!</definedName>
    <definedName name="外部資料_330" localSheetId="3">評比系統!$T$1:$AF$3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4">PKA!#REF!</definedName>
    <definedName name="外部資料_331" localSheetId="15">PKB!#REF!</definedName>
    <definedName name="外部資料_331" localSheetId="16">PKC!#REF!</definedName>
    <definedName name="外部資料_331" localSheetId="3">評比系統!$T$1:$AF$3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4">PKA!#REF!</definedName>
    <definedName name="外部資料_332" localSheetId="15">PKB!#REF!</definedName>
    <definedName name="外部資料_332" localSheetId="16">PKC!#REF!</definedName>
    <definedName name="外部資料_332" localSheetId="3">評比系統!$T$1:$AF$3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4">PKA!#REF!</definedName>
    <definedName name="外部資料_333" localSheetId="15">PKB!#REF!</definedName>
    <definedName name="外部資料_333" localSheetId="16">PKC!#REF!</definedName>
    <definedName name="外部資料_333" localSheetId="3">評比系統!$T$1:$AF$3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4">PKA!#REF!</definedName>
    <definedName name="外部資料_334" localSheetId="15">PKB!#REF!</definedName>
    <definedName name="外部資料_334" localSheetId="16">PKC!#REF!</definedName>
    <definedName name="外部資料_334" localSheetId="3">評比系統!$T$1:$AF$3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4">PKA!#REF!</definedName>
    <definedName name="外部資料_335" localSheetId="15">PKB!#REF!</definedName>
    <definedName name="外部資料_335" localSheetId="16">PKC!#REF!</definedName>
    <definedName name="外部資料_335" localSheetId="3">評比系統!$T$1:$AF$3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4">PKA!#REF!</definedName>
    <definedName name="外部資料_336" localSheetId="15">PKB!#REF!</definedName>
    <definedName name="外部資料_336" localSheetId="16">PKC!#REF!</definedName>
    <definedName name="外部資料_336" localSheetId="3">評比系統!$T$1:$AF$3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4">PKA!#REF!</definedName>
    <definedName name="外部資料_337" localSheetId="15">PKB!#REF!</definedName>
    <definedName name="外部資料_337" localSheetId="16">PKC!#REF!</definedName>
    <definedName name="外部資料_337" localSheetId="3">評比系統!$T$1:$AF$3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4">PKA!#REF!</definedName>
    <definedName name="外部資料_338" localSheetId="15">PKB!#REF!</definedName>
    <definedName name="外部資料_338" localSheetId="16">PKC!#REF!</definedName>
    <definedName name="外部資料_338" localSheetId="3">評比系統!$T$1:$AF$3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4">PKA!#REF!</definedName>
    <definedName name="外部資料_339" localSheetId="15">PKB!#REF!</definedName>
    <definedName name="外部資料_339" localSheetId="16">PKC!#REF!</definedName>
    <definedName name="外部資料_339" localSheetId="3">評比系統!$T$1:$AF$3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4">PKA!#REF!</definedName>
    <definedName name="外部資料_34" localSheetId="15">PKB!#REF!</definedName>
    <definedName name="外部資料_34" localSheetId="16">PKC!#REF!</definedName>
    <definedName name="外部資料_34" localSheetId="7">PSR!#REF!</definedName>
    <definedName name="外部資料_34" localSheetId="2">紅綠燈!#REF!</definedName>
    <definedName name="外部資料_34" localSheetId="3">評比系統!#REF!</definedName>
    <definedName name="外部資料_34" localSheetId="17">福邦!#REF!</definedName>
    <definedName name="外部資料_34" localSheetId="4">篩股系統!#REF!</definedName>
    <definedName name="外部資料_34" localSheetId="6">營收搶先報!#REF!</definedName>
    <definedName name="外部資料_340" localSheetId="14">PKA!#REF!</definedName>
    <definedName name="外部資料_340" localSheetId="15">PKB!#REF!</definedName>
    <definedName name="外部資料_340" localSheetId="16">PKC!#REF!</definedName>
    <definedName name="外部資料_340" localSheetId="3">評比系統!$T$1:$AF$3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4">PKA!#REF!</definedName>
    <definedName name="外部資料_341" localSheetId="15">PKB!#REF!</definedName>
    <definedName name="外部資料_341" localSheetId="16">PKC!#REF!</definedName>
    <definedName name="外部資料_341" localSheetId="3">評比系統!$T$1:$AF$3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4">PKA!#REF!</definedName>
    <definedName name="外部資料_342" localSheetId="15">PKB!#REF!</definedName>
    <definedName name="外部資料_342" localSheetId="16">PKC!#REF!</definedName>
    <definedName name="外部資料_342" localSheetId="3">評比系統!$T$1:$AF$3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4">PKA!#REF!</definedName>
    <definedName name="外部資料_343" localSheetId="15">PKB!#REF!</definedName>
    <definedName name="外部資料_343" localSheetId="16">PKC!#REF!</definedName>
    <definedName name="外部資料_343" localSheetId="3">評比系統!$T$1:$AF$3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4">PKA!#REF!</definedName>
    <definedName name="外部資料_344" localSheetId="15">PKB!#REF!</definedName>
    <definedName name="外部資料_344" localSheetId="16">PKC!#REF!</definedName>
    <definedName name="外部資料_344" localSheetId="3">評比系統!$T$1:$AF$3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4">PKA!#REF!</definedName>
    <definedName name="外部資料_345" localSheetId="15">PKB!#REF!</definedName>
    <definedName name="外部資料_345" localSheetId="16">PKC!#REF!</definedName>
    <definedName name="外部資料_345" localSheetId="3">評比系統!$T$1:$AF$3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4">PKA!#REF!</definedName>
    <definedName name="外部資料_346" localSheetId="15">PKB!#REF!</definedName>
    <definedName name="外部資料_346" localSheetId="16">PKC!#REF!</definedName>
    <definedName name="外部資料_346" localSheetId="3">評比系統!$T$1:$AF$3</definedName>
    <definedName name="外部資料_346" localSheetId="4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4">PKA!#REF!</definedName>
    <definedName name="外部資料_347" localSheetId="15">PKB!#REF!</definedName>
    <definedName name="外部資料_347" localSheetId="16">PKC!#REF!</definedName>
    <definedName name="外部資料_347" localSheetId="3">評比系統!$T$1:$AF$3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4">PKA!#REF!</definedName>
    <definedName name="外部資料_348" localSheetId="15">PKB!#REF!</definedName>
    <definedName name="外部資料_348" localSheetId="16">PKC!#REF!</definedName>
    <definedName name="外部資料_348" localSheetId="3">評比系統!$T$1:$AF$3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4">PKA!#REF!</definedName>
    <definedName name="外部資料_349" localSheetId="15">PKB!#REF!</definedName>
    <definedName name="外部資料_349" localSheetId="16">PKC!#REF!</definedName>
    <definedName name="外部資料_349" localSheetId="3">評比系統!$T$1:$AF$3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4">PKA!#REF!</definedName>
    <definedName name="外部資料_35" localSheetId="15">PKB!#REF!</definedName>
    <definedName name="外部資料_35" localSheetId="16">PKC!#REF!</definedName>
    <definedName name="外部資料_35" localSheetId="7">PSR!#REF!</definedName>
    <definedName name="外部資料_35" localSheetId="2">紅綠燈!#REF!</definedName>
    <definedName name="外部資料_35" localSheetId="3">評比系統!#REF!</definedName>
    <definedName name="外部資料_35" localSheetId="17">福邦!#REF!</definedName>
    <definedName name="外部資料_35" localSheetId="4">篩股系統!#REF!</definedName>
    <definedName name="外部資料_35" localSheetId="6">營收搶先報!#REF!</definedName>
    <definedName name="外部資料_350" localSheetId="14">PKA!#REF!</definedName>
    <definedName name="外部資料_350" localSheetId="15">PKB!#REF!</definedName>
    <definedName name="外部資料_350" localSheetId="16">PKC!#REF!</definedName>
    <definedName name="外部資料_350" localSheetId="3">評比系統!$T$1:$AF$3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4">PKA!#REF!</definedName>
    <definedName name="外部資料_351" localSheetId="15">PKB!#REF!</definedName>
    <definedName name="外部資料_351" localSheetId="16">PKC!#REF!</definedName>
    <definedName name="外部資料_351" localSheetId="3">評比系統!$T$1:$AF$3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4">PKA!#REF!</definedName>
    <definedName name="外部資料_352" localSheetId="15">PKB!#REF!</definedName>
    <definedName name="外部資料_352" localSheetId="16">PKC!#REF!</definedName>
    <definedName name="外部資料_352" localSheetId="3">評比系統!$T$1:$AF$3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4">PKA!#REF!</definedName>
    <definedName name="外部資料_353" localSheetId="15">PKB!#REF!</definedName>
    <definedName name="外部資料_353" localSheetId="16">PKC!#REF!</definedName>
    <definedName name="外部資料_353" localSheetId="3">評比系統!$T$1:$AF$3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4">PKA!#REF!</definedName>
    <definedName name="外部資料_354" localSheetId="15">PKB!#REF!</definedName>
    <definedName name="外部資料_354" localSheetId="16">PKC!#REF!</definedName>
    <definedName name="外部資料_354" localSheetId="3">評比系統!$T$1:$AF$3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4">PKA!#REF!</definedName>
    <definedName name="外部資料_355" localSheetId="15">PKB!#REF!</definedName>
    <definedName name="外部資料_355" localSheetId="16">PKC!#REF!</definedName>
    <definedName name="外部資料_355" localSheetId="3">評比系統!$T$1:$AF$3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4">PKA!#REF!</definedName>
    <definedName name="外部資料_356" localSheetId="15">PKB!#REF!</definedName>
    <definedName name="外部資料_356" localSheetId="16">PKC!#REF!</definedName>
    <definedName name="外部資料_356" localSheetId="3">評比系統!$T$1:$AF$3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4">PKA!#REF!</definedName>
    <definedName name="外部資料_357" localSheetId="15">PKB!#REF!</definedName>
    <definedName name="外部資料_357" localSheetId="16">PKC!#REF!</definedName>
    <definedName name="外部資料_357" localSheetId="3">評比系統!$T$1:$AF$3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4">PKA!#REF!</definedName>
    <definedName name="外部資料_358" localSheetId="15">PKB!#REF!</definedName>
    <definedName name="外部資料_358" localSheetId="16">PKC!#REF!</definedName>
    <definedName name="外部資料_358" localSheetId="3">評比系統!$T$1:$AF$3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4">PKA!#REF!</definedName>
    <definedName name="外部資料_359" localSheetId="15">PKB!#REF!</definedName>
    <definedName name="外部資料_359" localSheetId="16">PKC!#REF!</definedName>
    <definedName name="外部資料_359" localSheetId="3">評比系統!$T$1:$AF$3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4">PKA!#REF!</definedName>
    <definedName name="外部資料_36" localSheetId="15">PKB!#REF!</definedName>
    <definedName name="外部資料_36" localSheetId="16">PKC!#REF!</definedName>
    <definedName name="外部資料_36" localSheetId="7">PSR!#REF!</definedName>
    <definedName name="外部資料_36" localSheetId="2">紅綠燈!#REF!</definedName>
    <definedName name="外部資料_36" localSheetId="3">評比系統!#REF!</definedName>
    <definedName name="外部資料_36" localSheetId="17">福邦!#REF!</definedName>
    <definedName name="外部資料_36" localSheetId="4">篩股系統!#REF!</definedName>
    <definedName name="外部資料_36" localSheetId="6">營收搶先報!#REF!</definedName>
    <definedName name="外部資料_360" localSheetId="14">PKA!#REF!</definedName>
    <definedName name="外部資料_360" localSheetId="15">PKB!#REF!</definedName>
    <definedName name="外部資料_360" localSheetId="16">PKC!#REF!</definedName>
    <definedName name="外部資料_360" localSheetId="3">評比系統!$T$1:$AF$3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4">PKA!#REF!</definedName>
    <definedName name="外部資料_361" localSheetId="15">PKB!#REF!</definedName>
    <definedName name="外部資料_361" localSheetId="16">PKC!#REF!</definedName>
    <definedName name="外部資料_361" localSheetId="3">評比系統!$T$1:$AF$3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4">PKA!#REF!</definedName>
    <definedName name="外部資料_362" localSheetId="15">PKB!#REF!</definedName>
    <definedName name="外部資料_362" localSheetId="16">PKC!#REF!</definedName>
    <definedName name="外部資料_362" localSheetId="3">評比系統!$T$1:$AF$3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4">PKA!#REF!</definedName>
    <definedName name="外部資料_363" localSheetId="15">PKB!#REF!</definedName>
    <definedName name="外部資料_363" localSheetId="16">PKC!#REF!</definedName>
    <definedName name="外部資料_363" localSheetId="3">評比系統!$T$1:$AF$3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4">PKA!#REF!</definedName>
    <definedName name="外部資料_364" localSheetId="15">PKB!#REF!</definedName>
    <definedName name="外部資料_364" localSheetId="16">PKC!#REF!</definedName>
    <definedName name="外部資料_364" localSheetId="3">評比系統!$T$1:$AF$3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4">PKA!#REF!</definedName>
    <definedName name="外部資料_365" localSheetId="15">PKB!#REF!</definedName>
    <definedName name="外部資料_365" localSheetId="16">PKC!#REF!</definedName>
    <definedName name="外部資料_365" localSheetId="3">評比系統!$T$1:$AF$3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4">PKA!#REF!</definedName>
    <definedName name="外部資料_366" localSheetId="15">PKB!#REF!</definedName>
    <definedName name="外部資料_366" localSheetId="16">PKC!#REF!</definedName>
    <definedName name="外部資料_366" localSheetId="3">評比系統!$T$1:$AF$3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4">PKA!#REF!</definedName>
    <definedName name="外部資料_367" localSheetId="15">PKB!#REF!</definedName>
    <definedName name="外部資料_367" localSheetId="16">PKC!#REF!</definedName>
    <definedName name="外部資料_367" localSheetId="3">評比系統!$T$1:$AF$3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4">PKA!#REF!</definedName>
    <definedName name="外部資料_368" localSheetId="15">PKB!#REF!</definedName>
    <definedName name="外部資料_368" localSheetId="16">PKC!#REF!</definedName>
    <definedName name="外部資料_368" localSheetId="3">評比系統!$T$1:$AF$3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4">PKA!#REF!</definedName>
    <definedName name="外部資料_369" localSheetId="15">PKB!#REF!</definedName>
    <definedName name="外部資料_369" localSheetId="16">PKC!#REF!</definedName>
    <definedName name="外部資料_369" localSheetId="3">評比系統!$T$1:$AF$3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4">PKA!#REF!</definedName>
    <definedName name="外部資料_37" localSheetId="15">PKB!#REF!</definedName>
    <definedName name="外部資料_37" localSheetId="16">PKC!#REF!</definedName>
    <definedName name="外部資料_37" localSheetId="7">PSR!#REF!</definedName>
    <definedName name="外部資料_37" localSheetId="2">紅綠燈!#REF!</definedName>
    <definedName name="外部資料_37" localSheetId="3">評比系統!#REF!</definedName>
    <definedName name="外部資料_37" localSheetId="17">福邦!#REF!</definedName>
    <definedName name="外部資料_37" localSheetId="4">篩股系統!#REF!</definedName>
    <definedName name="外部資料_37" localSheetId="6">營收搶先報!#REF!</definedName>
    <definedName name="外部資料_370" localSheetId="14">PKA!#REF!</definedName>
    <definedName name="外部資料_370" localSheetId="15">PKB!#REF!</definedName>
    <definedName name="外部資料_370" localSheetId="16">PKC!#REF!</definedName>
    <definedName name="外部資料_370" localSheetId="3">評比系統!$T$1:$AF$3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4">PKA!#REF!</definedName>
    <definedName name="外部資料_371" localSheetId="15">PKB!#REF!</definedName>
    <definedName name="外部資料_371" localSheetId="16">PKC!#REF!</definedName>
    <definedName name="外部資料_371" localSheetId="3">評比系統!$T$1:$AF$3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4">PKA!#REF!</definedName>
    <definedName name="外部資料_372" localSheetId="15">PKB!#REF!</definedName>
    <definedName name="外部資料_372" localSheetId="16">PKC!#REF!</definedName>
    <definedName name="外部資料_372" localSheetId="3">評比系統!$T$1:$AF$3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4">PKA!#REF!</definedName>
    <definedName name="外部資料_373" localSheetId="15">PKB!#REF!</definedName>
    <definedName name="外部資料_373" localSheetId="16">PKC!#REF!</definedName>
    <definedName name="外部資料_373" localSheetId="3">評比系統!$T$1:$AF$3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4">PKA!#REF!</definedName>
    <definedName name="外部資料_374" localSheetId="15">PKB!#REF!</definedName>
    <definedName name="外部資料_374" localSheetId="16">PKC!#REF!</definedName>
    <definedName name="外部資料_374" localSheetId="3">評比系統!$T$1:$AF$3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4">PKA!#REF!</definedName>
    <definedName name="外部資料_375" localSheetId="15">PKB!#REF!</definedName>
    <definedName name="外部資料_375" localSheetId="16">PKC!#REF!</definedName>
    <definedName name="外部資料_375" localSheetId="3">評比系統!$T$1:$AF$3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4">PKA!#REF!</definedName>
    <definedName name="外部資料_376" localSheetId="15">PKB!#REF!</definedName>
    <definedName name="外部資料_376" localSheetId="16">PKC!#REF!</definedName>
    <definedName name="外部資料_376" localSheetId="3">評比系統!$T$1:$AF$3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4">PKA!#REF!</definedName>
    <definedName name="外部資料_377" localSheetId="15">PKB!#REF!</definedName>
    <definedName name="外部資料_377" localSheetId="16">PKC!#REF!</definedName>
    <definedName name="外部資料_377" localSheetId="3">評比系統!$T$1:$AF$3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4">PKA!#REF!</definedName>
    <definedName name="外部資料_378" localSheetId="15">PKB!#REF!</definedName>
    <definedName name="外部資料_378" localSheetId="16">PKC!#REF!</definedName>
    <definedName name="外部資料_378" localSheetId="3">評比系統!$T$1:$AF$3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4">PKA!#REF!</definedName>
    <definedName name="外部資料_379" localSheetId="15">PKB!#REF!</definedName>
    <definedName name="外部資料_379" localSheetId="16">PKC!#REF!</definedName>
    <definedName name="外部資料_379" localSheetId="3">評比系統!$T$1:$AF$3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4">PKA!#REF!</definedName>
    <definedName name="外部資料_38" localSheetId="15">PKB!#REF!</definedName>
    <definedName name="外部資料_38" localSheetId="16">PKC!#REF!</definedName>
    <definedName name="外部資料_38" localSheetId="7">PSR!#REF!</definedName>
    <definedName name="外部資料_38" localSheetId="2">紅綠燈!#REF!</definedName>
    <definedName name="外部資料_38" localSheetId="3">評比系統!#REF!</definedName>
    <definedName name="外部資料_38" localSheetId="17">福邦!#REF!</definedName>
    <definedName name="外部資料_38" localSheetId="4">篩股系統!#REF!</definedName>
    <definedName name="外部資料_38" localSheetId="6">營收搶先報!#REF!</definedName>
    <definedName name="外部資料_380" localSheetId="14">PKA!#REF!</definedName>
    <definedName name="外部資料_380" localSheetId="15">PKB!#REF!</definedName>
    <definedName name="外部資料_380" localSheetId="16">PKC!#REF!</definedName>
    <definedName name="外部資料_380" localSheetId="3">評比系統!$T$1:$AF$3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4">PKA!#REF!</definedName>
    <definedName name="外部資料_381" localSheetId="15">PKB!#REF!</definedName>
    <definedName name="外部資料_381" localSheetId="16">PKC!#REF!</definedName>
    <definedName name="外部資料_381" localSheetId="3">評比系統!$T$1:$AF$3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4">PKA!#REF!</definedName>
    <definedName name="外部資料_382" localSheetId="15">PKB!#REF!</definedName>
    <definedName name="外部資料_382" localSheetId="16">PKC!#REF!</definedName>
    <definedName name="外部資料_382" localSheetId="3">評比系統!$T$1:$AF$3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4">PKA!#REF!</definedName>
    <definedName name="外部資料_383" localSheetId="15">PKB!#REF!</definedName>
    <definedName name="外部資料_383" localSheetId="16">PKC!#REF!</definedName>
    <definedName name="外部資料_383" localSheetId="3">評比系統!$T$1:$AF$3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4">PKA!#REF!</definedName>
    <definedName name="外部資料_384" localSheetId="15">PKB!#REF!</definedName>
    <definedName name="外部資料_384" localSheetId="16">PKC!#REF!</definedName>
    <definedName name="外部資料_384" localSheetId="3">評比系統!$T$1:$AF$3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4">PKA!#REF!</definedName>
    <definedName name="外部資料_385" localSheetId="15">PKB!#REF!</definedName>
    <definedName name="外部資料_385" localSheetId="16">PKC!#REF!</definedName>
    <definedName name="外部資料_385" localSheetId="3">評比系統!$T$1:$AF$3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4">PKA!#REF!</definedName>
    <definedName name="外部資料_386" localSheetId="15">PKB!#REF!</definedName>
    <definedName name="外部資料_386" localSheetId="16">PKC!#REF!</definedName>
    <definedName name="外部資料_386" localSheetId="3">評比系統!$T$1:$AF$3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4">PKA!#REF!</definedName>
    <definedName name="外部資料_387" localSheetId="15">PKB!#REF!</definedName>
    <definedName name="外部資料_387" localSheetId="16">PKC!#REF!</definedName>
    <definedName name="外部資料_387" localSheetId="3">評比系統!$T$1:$AF$3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4">PKA!#REF!</definedName>
    <definedName name="外部資料_388" localSheetId="15">PKB!#REF!</definedName>
    <definedName name="外部資料_388" localSheetId="16">PKC!#REF!</definedName>
    <definedName name="外部資料_388" localSheetId="3">評比系統!$T$1:$AF$3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4">PKA!#REF!</definedName>
    <definedName name="外部資料_389" localSheetId="15">PKB!#REF!</definedName>
    <definedName name="外部資料_389" localSheetId="16">PKC!#REF!</definedName>
    <definedName name="外部資料_389" localSheetId="3">評比系統!$T$1:$AF$3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4">PKA!#REF!</definedName>
    <definedName name="外部資料_39" localSheetId="15">PKB!#REF!</definedName>
    <definedName name="外部資料_39" localSheetId="16">PKC!#REF!</definedName>
    <definedName name="外部資料_39" localSheetId="7">PSR!#REF!</definedName>
    <definedName name="外部資料_39" localSheetId="2">紅綠燈!#REF!</definedName>
    <definedName name="外部資料_39" localSheetId="3">評比系統!#REF!</definedName>
    <definedName name="外部資料_39" localSheetId="17">福邦!#REF!</definedName>
    <definedName name="外部資料_39" localSheetId="4">篩股系統!#REF!</definedName>
    <definedName name="外部資料_39" localSheetId="6">營收搶先報!#REF!</definedName>
    <definedName name="外部資料_390" localSheetId="14">PKA!#REF!</definedName>
    <definedName name="外部資料_390" localSheetId="15">PKB!#REF!</definedName>
    <definedName name="外部資料_390" localSheetId="16">PKC!#REF!</definedName>
    <definedName name="外部資料_390" localSheetId="3">評比系統!$T$1:$AF$3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4">PKA!#REF!</definedName>
    <definedName name="外部資料_391" localSheetId="15">PKB!#REF!</definedName>
    <definedName name="外部資料_391" localSheetId="16">PKC!#REF!</definedName>
    <definedName name="外部資料_391" localSheetId="3">評比系統!$T$1:$AF$3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4">PKA!#REF!</definedName>
    <definedName name="外部資料_392" localSheetId="15">PKB!#REF!</definedName>
    <definedName name="外部資料_392" localSheetId="16">PKC!#REF!</definedName>
    <definedName name="外部資料_392" localSheetId="3">評比系統!$T$1:$AF$3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4">PKA!#REF!</definedName>
    <definedName name="外部資料_393" localSheetId="15">PKB!#REF!</definedName>
    <definedName name="外部資料_393" localSheetId="16">PKC!#REF!</definedName>
    <definedName name="外部資料_393" localSheetId="3">評比系統!$T$1:$AF$3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4">PKA!#REF!</definedName>
    <definedName name="外部資料_394" localSheetId="15">PKB!#REF!</definedName>
    <definedName name="外部資料_394" localSheetId="16">PKC!#REF!</definedName>
    <definedName name="外部資料_394" localSheetId="3">評比系統!$T$1:$AF$3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4">PKA!#REF!</definedName>
    <definedName name="外部資料_395" localSheetId="15">PKB!#REF!</definedName>
    <definedName name="外部資料_395" localSheetId="16">PKC!#REF!</definedName>
    <definedName name="外部資料_395" localSheetId="3">評比系統!$T$1:$AF$3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4">PKA!#REF!</definedName>
    <definedName name="外部資料_396" localSheetId="15">PKB!#REF!</definedName>
    <definedName name="外部資料_396" localSheetId="16">PKC!#REF!</definedName>
    <definedName name="外部資料_396" localSheetId="3">評比系統!$T$1:$AF$3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4">PKA!#REF!</definedName>
    <definedName name="外部資料_397" localSheetId="15">PKB!#REF!</definedName>
    <definedName name="外部資料_397" localSheetId="16">PKC!#REF!</definedName>
    <definedName name="外部資料_397" localSheetId="3">評比系統!$T$1:$AF$3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4">PKA!#REF!</definedName>
    <definedName name="外部資料_398" localSheetId="15">PKB!#REF!</definedName>
    <definedName name="外部資料_398" localSheetId="16">PKC!#REF!</definedName>
    <definedName name="外部資料_398" localSheetId="3">評比系統!$T$1:$AF$3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4">PKA!#REF!</definedName>
    <definedName name="外部資料_399" localSheetId="15">PKB!#REF!</definedName>
    <definedName name="外部資料_399" localSheetId="16">PKC!#REF!</definedName>
    <definedName name="外部資料_399" localSheetId="3">評比系統!$T$1:$AF$3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4">PKA!#REF!</definedName>
    <definedName name="外部資料_4" localSheetId="15">PKB!#REF!</definedName>
    <definedName name="外部資料_4" localSheetId="16">PKC!#REF!</definedName>
    <definedName name="外部資料_4" localSheetId="7">PSR!#REF!</definedName>
    <definedName name="外部資料_4" localSheetId="2">紅綠燈!#REF!</definedName>
    <definedName name="外部資料_4" localSheetId="3">評比系統!#REF!</definedName>
    <definedName name="外部資料_4" localSheetId="9">葛林公式!$M$1:$W$61</definedName>
    <definedName name="外部資料_4" localSheetId="17">福邦!#REF!</definedName>
    <definedName name="外部資料_4" localSheetId="4">篩股系統!#REF!</definedName>
    <definedName name="外部資料_4" localSheetId="6">營收搶先報!#REF!</definedName>
    <definedName name="外部資料_40" localSheetId="14">PKA!#REF!</definedName>
    <definedName name="外部資料_40" localSheetId="15">PKB!#REF!</definedName>
    <definedName name="外部資料_40" localSheetId="16">PKC!#REF!</definedName>
    <definedName name="外部資料_40" localSheetId="7">PSR!#REF!</definedName>
    <definedName name="外部資料_40" localSheetId="2">紅綠燈!#REF!</definedName>
    <definedName name="外部資料_40" localSheetId="3">評比系統!#REF!</definedName>
    <definedName name="外部資料_40" localSheetId="17">福邦!#REF!</definedName>
    <definedName name="外部資料_40" localSheetId="6">營收搶先報!#REF!</definedName>
    <definedName name="外部資料_400" localSheetId="14">PKA!#REF!</definedName>
    <definedName name="外部資料_400" localSheetId="15">PKB!#REF!</definedName>
    <definedName name="外部資料_400" localSheetId="16">PKC!#REF!</definedName>
    <definedName name="外部資料_400" localSheetId="3">評比系統!$T$1:$AF$3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4">PKA!#REF!</definedName>
    <definedName name="外部資料_401" localSheetId="15">PKB!#REF!</definedName>
    <definedName name="外部資料_401" localSheetId="16">PKC!#REF!</definedName>
    <definedName name="外部資料_401" localSheetId="3">評比系統!$T$1:$AF$3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4">PKA!#REF!</definedName>
    <definedName name="外部資料_402" localSheetId="15">PKB!#REF!</definedName>
    <definedName name="外部資料_402" localSheetId="16">PKC!#REF!</definedName>
    <definedName name="外部資料_402" localSheetId="3">評比系統!$T$1:$AF$3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4">PKA!#REF!</definedName>
    <definedName name="外部資料_403" localSheetId="15">PKB!#REF!</definedName>
    <definedName name="外部資料_403" localSheetId="16">PKC!#REF!</definedName>
    <definedName name="外部資料_403" localSheetId="3">評比系統!$T$1:$AF$3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4">PKA!#REF!</definedName>
    <definedName name="外部資料_404" localSheetId="15">PKB!#REF!</definedName>
    <definedName name="外部資料_404" localSheetId="16">PKC!#REF!</definedName>
    <definedName name="外部資料_404" localSheetId="3">評比系統!$T$1:$AF$3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4">PKA!#REF!</definedName>
    <definedName name="外部資料_405" localSheetId="15">PKB!#REF!</definedName>
    <definedName name="外部資料_405" localSheetId="16">PKC!#REF!</definedName>
    <definedName name="外部資料_405" localSheetId="3">評比系統!$T$1:$AF$3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4">PKA!#REF!</definedName>
    <definedName name="外部資料_406" localSheetId="15">PKB!#REF!</definedName>
    <definedName name="外部資料_406" localSheetId="16">PKC!#REF!</definedName>
    <definedName name="外部資料_406" localSheetId="3">評比系統!$T$1:$AF$3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4">PKA!#REF!</definedName>
    <definedName name="外部資料_407" localSheetId="15">PKB!#REF!</definedName>
    <definedName name="外部資料_407" localSheetId="16">PKC!#REF!</definedName>
    <definedName name="外部資料_407" localSheetId="3">評比系統!$T$1:$AF$3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4">PKA!#REF!</definedName>
    <definedName name="外部資料_408" localSheetId="15">PKB!#REF!</definedName>
    <definedName name="外部資料_408" localSheetId="16">PKC!#REF!</definedName>
    <definedName name="外部資料_408" localSheetId="3">評比系統!$T$1:$AF$3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4">PKA!#REF!</definedName>
    <definedName name="外部資料_409" localSheetId="15">PKB!#REF!</definedName>
    <definedName name="外部資料_409" localSheetId="16">PKC!#REF!</definedName>
    <definedName name="外部資料_409" localSheetId="3">評比系統!$T$1:$AF$3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4">PKA!#REF!</definedName>
    <definedName name="外部資料_41" localSheetId="15">PKB!#REF!</definedName>
    <definedName name="外部資料_41" localSheetId="16">PKC!#REF!</definedName>
    <definedName name="外部資料_41" localSheetId="7">PSR!#REF!</definedName>
    <definedName name="外部資料_41" localSheetId="2">紅綠燈!#REF!</definedName>
    <definedName name="外部資料_41" localSheetId="3">評比系統!#REF!</definedName>
    <definedName name="外部資料_41" localSheetId="17">福邦!#REF!</definedName>
    <definedName name="外部資料_41" localSheetId="4">篩股系統!#REF!</definedName>
    <definedName name="外部資料_41" localSheetId="6">營收搶先報!#REF!</definedName>
    <definedName name="外部資料_410" localSheetId="14">PKA!#REF!</definedName>
    <definedName name="外部資料_410" localSheetId="15">PKB!#REF!</definedName>
    <definedName name="外部資料_410" localSheetId="16">PKC!#REF!</definedName>
    <definedName name="外部資料_410" localSheetId="3">評比系統!$T$1:$AF$3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4">PKA!#REF!</definedName>
    <definedName name="外部資料_411" localSheetId="15">PKB!#REF!</definedName>
    <definedName name="外部資料_411" localSheetId="16">PKC!#REF!</definedName>
    <definedName name="外部資料_411" localSheetId="3">評比系統!$T$1:$AF$3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4">PKA!#REF!</definedName>
    <definedName name="外部資料_412" localSheetId="15">PKB!#REF!</definedName>
    <definedName name="外部資料_412" localSheetId="16">PKC!#REF!</definedName>
    <definedName name="外部資料_412" localSheetId="3">評比系統!$T$1:$AF$3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4">PKA!#REF!</definedName>
    <definedName name="外部資料_413" localSheetId="15">PKB!#REF!</definedName>
    <definedName name="外部資料_413" localSheetId="16">PKC!#REF!</definedName>
    <definedName name="外部資料_413" localSheetId="3">評比系統!$T$1:$AF$3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4">PKA!#REF!</definedName>
    <definedName name="外部資料_414" localSheetId="15">PKB!#REF!</definedName>
    <definedName name="外部資料_414" localSheetId="16">PKC!#REF!</definedName>
    <definedName name="外部資料_414" localSheetId="3">評比系統!$T$1:$AF$3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4">PKA!#REF!</definedName>
    <definedName name="外部資料_415" localSheetId="15">PKB!#REF!</definedName>
    <definedName name="外部資料_415" localSheetId="16">PKC!#REF!</definedName>
    <definedName name="外部資料_415" localSheetId="3">評比系統!$T$1:$AF$3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4">PKA!#REF!</definedName>
    <definedName name="外部資料_416" localSheetId="15">PKB!#REF!</definedName>
    <definedName name="外部資料_416" localSheetId="16">PKC!#REF!</definedName>
    <definedName name="外部資料_416" localSheetId="3">評比系統!$T$1:$AF$3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4">PKA!#REF!</definedName>
    <definedName name="外部資料_417" localSheetId="15">PKB!#REF!</definedName>
    <definedName name="外部資料_417" localSheetId="16">PKC!#REF!</definedName>
    <definedName name="外部資料_417" localSheetId="3">評比系統!$T$1:$AF$3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4">PKA!#REF!</definedName>
    <definedName name="外部資料_418" localSheetId="15">PKB!#REF!</definedName>
    <definedName name="外部資料_418" localSheetId="16">PKC!#REF!</definedName>
    <definedName name="外部資料_418" localSheetId="3">評比系統!$T$1:$AF$3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4">PKA!#REF!</definedName>
    <definedName name="外部資料_419" localSheetId="15">PKB!#REF!</definedName>
    <definedName name="外部資料_419" localSheetId="16">PKC!#REF!</definedName>
    <definedName name="外部資料_419" localSheetId="3">評比系統!$T$1:$AF$3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4">PKA!#REF!</definedName>
    <definedName name="外部資料_42" localSheetId="15">PKB!#REF!</definedName>
    <definedName name="外部資料_42" localSheetId="16">PKC!#REF!</definedName>
    <definedName name="外部資料_42" localSheetId="7">PSR!#REF!</definedName>
    <definedName name="外部資料_42" localSheetId="2">紅綠燈!#REF!</definedName>
    <definedName name="外部資料_42" localSheetId="3">評比系統!#REF!</definedName>
    <definedName name="外部資料_42" localSheetId="17">福邦!#REF!</definedName>
    <definedName name="外部資料_42" localSheetId="4">篩股系統!#REF!</definedName>
    <definedName name="外部資料_42" localSheetId="6">營收搶先報!#REF!</definedName>
    <definedName name="外部資料_420" localSheetId="14">PKA!#REF!</definedName>
    <definedName name="外部資料_420" localSheetId="15">PKB!#REF!</definedName>
    <definedName name="外部資料_420" localSheetId="16">PKC!#REF!</definedName>
    <definedName name="外部資料_420" localSheetId="3">評比系統!$T$1:$AF$3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4">PKA!#REF!</definedName>
    <definedName name="外部資料_421" localSheetId="15">PKB!#REF!</definedName>
    <definedName name="外部資料_421" localSheetId="16">PKC!#REF!</definedName>
    <definedName name="外部資料_421" localSheetId="3">評比系統!$T$1:$AF$3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4">PKA!#REF!</definedName>
    <definedName name="外部資料_422" localSheetId="15">PKB!#REF!</definedName>
    <definedName name="外部資料_422" localSheetId="16">PKC!#REF!</definedName>
    <definedName name="外部資料_422" localSheetId="3">評比系統!$T$1:$AF$3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4">PKA!#REF!</definedName>
    <definedName name="外部資料_423" localSheetId="15">PKB!#REF!</definedName>
    <definedName name="外部資料_423" localSheetId="16">PKC!#REF!</definedName>
    <definedName name="外部資料_423" localSheetId="3">評比系統!$T$1:$AF$3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4">PKA!#REF!</definedName>
    <definedName name="外部資料_424" localSheetId="15">PKB!#REF!</definedName>
    <definedName name="外部資料_424" localSheetId="16">PKC!#REF!</definedName>
    <definedName name="外部資料_424" localSheetId="3">評比系統!$T$1:$AF$3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4">PKA!#REF!</definedName>
    <definedName name="外部資料_425" localSheetId="15">PKB!#REF!</definedName>
    <definedName name="外部資料_425" localSheetId="16">PKC!#REF!</definedName>
    <definedName name="外部資料_425" localSheetId="3">評比系統!$T$1:$AF$3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4">PKA!#REF!</definedName>
    <definedName name="外部資料_426" localSheetId="15">PKB!#REF!</definedName>
    <definedName name="外部資料_426" localSheetId="16">PKC!#REF!</definedName>
    <definedName name="外部資料_426" localSheetId="3">評比系統!$T$1:$AF$3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4">PKA!#REF!</definedName>
    <definedName name="外部資料_427" localSheetId="15">PKB!#REF!</definedName>
    <definedName name="外部資料_427" localSheetId="16">PKC!#REF!</definedName>
    <definedName name="外部資料_427" localSheetId="3">評比系統!$T$1:$AF$3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4">PKA!#REF!</definedName>
    <definedName name="外部資料_428" localSheetId="15">PKB!#REF!</definedName>
    <definedName name="外部資料_428" localSheetId="16">PKC!#REF!</definedName>
    <definedName name="外部資料_428" localSheetId="3">評比系統!$T$1:$AF$3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4">PKA!#REF!</definedName>
    <definedName name="外部資料_429" localSheetId="15">PKB!#REF!</definedName>
    <definedName name="外部資料_429" localSheetId="16">PKC!#REF!</definedName>
    <definedName name="外部資料_429" localSheetId="3">評比系統!$T$1:$AF$3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4">PKA!#REF!</definedName>
    <definedName name="外部資料_43" localSheetId="15">PKB!#REF!</definedName>
    <definedName name="外部資料_43" localSheetId="16">PKC!#REF!</definedName>
    <definedName name="外部資料_43" localSheetId="7">PSR!#REF!</definedName>
    <definedName name="外部資料_43" localSheetId="3">評比系統!#REF!</definedName>
    <definedName name="外部資料_43" localSheetId="17">福邦!#REF!</definedName>
    <definedName name="外部資料_43" localSheetId="6">營收搶先報!#REF!</definedName>
    <definedName name="外部資料_430" localSheetId="14">PKA!#REF!</definedName>
    <definedName name="外部資料_430" localSheetId="15">PKB!#REF!</definedName>
    <definedName name="外部資料_430" localSheetId="16">PKC!#REF!</definedName>
    <definedName name="外部資料_430" localSheetId="3">評比系統!$T$1:$AF$3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4">PKA!#REF!</definedName>
    <definedName name="外部資料_431" localSheetId="15">PKB!#REF!</definedName>
    <definedName name="外部資料_431" localSheetId="16">PKC!#REF!</definedName>
    <definedName name="外部資料_431" localSheetId="3">評比系統!$T$1:$AF$3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4">PKA!#REF!</definedName>
    <definedName name="外部資料_432" localSheetId="15">PKB!#REF!</definedName>
    <definedName name="外部資料_432" localSheetId="16">PKC!#REF!</definedName>
    <definedName name="外部資料_432" localSheetId="3">評比系統!$T$1:$AF$3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4">PKA!#REF!</definedName>
    <definedName name="外部資料_433" localSheetId="15">PKB!#REF!</definedName>
    <definedName name="外部資料_433" localSheetId="16">PKC!#REF!</definedName>
    <definedName name="外部資料_433" localSheetId="3">評比系統!$T$1:$AF$3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4">PKA!#REF!</definedName>
    <definedName name="外部資料_434" localSheetId="15">PKB!#REF!</definedName>
    <definedName name="外部資料_434" localSheetId="16">PKC!#REF!</definedName>
    <definedName name="外部資料_434" localSheetId="3">評比系統!$T$1:$AF$3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4">PKA!#REF!</definedName>
    <definedName name="外部資料_435" localSheetId="15">PKB!#REF!</definedName>
    <definedName name="外部資料_435" localSheetId="16">PKC!#REF!</definedName>
    <definedName name="外部資料_435" localSheetId="3">評比系統!$T$1:$AF$3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4">PKA!#REF!</definedName>
    <definedName name="外部資料_436" localSheetId="15">PKB!#REF!</definedName>
    <definedName name="外部資料_436" localSheetId="16">PKC!#REF!</definedName>
    <definedName name="外部資料_436" localSheetId="3">評比系統!$T$1:$AF$3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4">PKA!#REF!</definedName>
    <definedName name="外部資料_437" localSheetId="15">PKB!#REF!</definedName>
    <definedName name="外部資料_437" localSheetId="16">PKC!#REF!</definedName>
    <definedName name="外部資料_437" localSheetId="3">評比系統!$T$1:$AF$3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4">PKA!#REF!</definedName>
    <definedName name="外部資料_438" localSheetId="15">PKB!#REF!</definedName>
    <definedName name="外部資料_438" localSheetId="16">PKC!#REF!</definedName>
    <definedName name="外部資料_438" localSheetId="3">評比系統!$T$1:$AF$3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4">PKA!#REF!</definedName>
    <definedName name="外部資料_439" localSheetId="15">PKB!#REF!</definedName>
    <definedName name="外部資料_439" localSheetId="16">PKC!#REF!</definedName>
    <definedName name="外部資料_439" localSheetId="3">評比系統!$T$1:$AF$3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4">PKA!#REF!</definedName>
    <definedName name="外部資料_44" localSheetId="15">PKB!#REF!</definedName>
    <definedName name="外部資料_44" localSheetId="16">PKC!#REF!</definedName>
    <definedName name="外部資料_44" localSheetId="7">PSR!#REF!</definedName>
    <definedName name="外部資料_44" localSheetId="3">評比系統!#REF!</definedName>
    <definedName name="外部資料_44" localSheetId="17">福邦!#REF!</definedName>
    <definedName name="外部資料_44" localSheetId="6">營收搶先報!#REF!</definedName>
    <definedName name="外部資料_440" localSheetId="14">PKA!#REF!</definedName>
    <definedName name="外部資料_440" localSheetId="15">PKB!#REF!</definedName>
    <definedName name="外部資料_440" localSheetId="16">PKC!#REF!</definedName>
    <definedName name="外部資料_440" localSheetId="3">評比系統!$T$1:$AF$3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4">PKA!#REF!</definedName>
    <definedName name="外部資料_441" localSheetId="15">PKB!#REF!</definedName>
    <definedName name="外部資料_441" localSheetId="16">PKC!#REF!</definedName>
    <definedName name="外部資料_441" localSheetId="3">評比系統!$T$1:$AF$3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4">PKA!#REF!</definedName>
    <definedName name="外部資料_442" localSheetId="15">PKB!#REF!</definedName>
    <definedName name="外部資料_442" localSheetId="16">PKC!#REF!</definedName>
    <definedName name="外部資料_442" localSheetId="3">評比系統!$T$1:$AF$3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4">PKA!#REF!</definedName>
    <definedName name="外部資料_443" localSheetId="15">PKB!#REF!</definedName>
    <definedName name="外部資料_443" localSheetId="16">PKC!#REF!</definedName>
    <definedName name="外部資料_443" localSheetId="3">評比系統!$T$1:$AF$3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4">PKA!#REF!</definedName>
    <definedName name="外部資料_444" localSheetId="15">PKB!#REF!</definedName>
    <definedName name="外部資料_444" localSheetId="16">PKC!#REF!</definedName>
    <definedName name="外部資料_444" localSheetId="3">評比系統!$T$1:$AF$3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4">PKA!#REF!</definedName>
    <definedName name="外部資料_445" localSheetId="15">PKB!#REF!</definedName>
    <definedName name="外部資料_445" localSheetId="16">PKC!#REF!</definedName>
    <definedName name="外部資料_445" localSheetId="3">評比系統!$T$1:$AF$3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4">PKA!#REF!</definedName>
    <definedName name="外部資料_446" localSheetId="15">PKB!#REF!</definedName>
    <definedName name="外部資料_446" localSheetId="16">PKC!#REF!</definedName>
    <definedName name="外部資料_446" localSheetId="3">評比系統!$T$1:$AF$3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4">PKA!#REF!</definedName>
    <definedName name="外部資料_447" localSheetId="15">PKB!#REF!</definedName>
    <definedName name="外部資料_447" localSheetId="16">PKC!#REF!</definedName>
    <definedName name="外部資料_447" localSheetId="3">評比系統!$T$1:$AF$3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4">PKA!#REF!</definedName>
    <definedName name="外部資料_448" localSheetId="15">PKB!#REF!</definedName>
    <definedName name="外部資料_448" localSheetId="16">PKC!#REF!</definedName>
    <definedName name="外部資料_448" localSheetId="3">評比系統!$T$1:$AF$3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4">PKA!#REF!</definedName>
    <definedName name="外部資料_449" localSheetId="15">PKB!#REF!</definedName>
    <definedName name="外部資料_449" localSheetId="16">PKC!#REF!</definedName>
    <definedName name="外部資料_449" localSheetId="3">評比系統!$T$1:$AF$3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4">PKA!#REF!</definedName>
    <definedName name="外部資料_45" localSheetId="15">PKB!#REF!</definedName>
    <definedName name="外部資料_45" localSheetId="16">PKC!#REF!</definedName>
    <definedName name="外部資料_45" localSheetId="7">PSR!#REF!</definedName>
    <definedName name="外部資料_45" localSheetId="3">評比系統!#REF!</definedName>
    <definedName name="外部資料_45" localSheetId="17">福邦!#REF!</definedName>
    <definedName name="外部資料_45" localSheetId="6">營收搶先報!#REF!</definedName>
    <definedName name="外部資料_450" localSheetId="14">PKA!#REF!</definedName>
    <definedName name="外部資料_450" localSheetId="15">PKB!#REF!</definedName>
    <definedName name="外部資料_450" localSheetId="16">PKC!#REF!</definedName>
    <definedName name="外部資料_450" localSheetId="3">評比系統!$T$1:$AF$3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4">PKA!#REF!</definedName>
    <definedName name="外部資料_451" localSheetId="15">PKB!#REF!</definedName>
    <definedName name="外部資料_451" localSheetId="16">PKC!#REF!</definedName>
    <definedName name="外部資料_451" localSheetId="3">評比系統!$T$1:$AF$3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4">PKA!#REF!</definedName>
    <definedName name="外部資料_452" localSheetId="15">PKB!#REF!</definedName>
    <definedName name="外部資料_452" localSheetId="16">PKC!#REF!</definedName>
    <definedName name="外部資料_452" localSheetId="3">評比系統!$T$1:$AF$3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4">PKA!#REF!</definedName>
    <definedName name="外部資料_453" localSheetId="15">PKB!#REF!</definedName>
    <definedName name="外部資料_453" localSheetId="16">PKC!#REF!</definedName>
    <definedName name="外部資料_453" localSheetId="3">評比系統!$T$1:$AF$3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4">PKA!#REF!</definedName>
    <definedName name="外部資料_454" localSheetId="15">PKB!#REF!</definedName>
    <definedName name="外部資料_454" localSheetId="16">PKC!#REF!</definedName>
    <definedName name="外部資料_454" localSheetId="3">評比系統!$T$1:$AF$3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4">PKA!#REF!</definedName>
    <definedName name="外部資料_455" localSheetId="15">PKB!#REF!</definedName>
    <definedName name="外部資料_455" localSheetId="16">PKC!#REF!</definedName>
    <definedName name="外部資料_455" localSheetId="3">評比系統!$T$1:$AF$3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4">PKA!#REF!</definedName>
    <definedName name="外部資料_456" localSheetId="15">PKB!#REF!</definedName>
    <definedName name="外部資料_456" localSheetId="16">PKC!#REF!</definedName>
    <definedName name="外部資料_456" localSheetId="3">評比系統!$T$1:$AF$3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4">PKA!#REF!</definedName>
    <definedName name="外部資料_457" localSheetId="15">PKB!#REF!</definedName>
    <definedName name="外部資料_457" localSheetId="16">PKC!#REF!</definedName>
    <definedName name="外部資料_457" localSheetId="3">評比系統!$T$1:$AF$3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4">PKA!#REF!</definedName>
    <definedName name="外部資料_458" localSheetId="15">PKB!#REF!</definedName>
    <definedName name="外部資料_458" localSheetId="16">PKC!#REF!</definedName>
    <definedName name="外部資料_458" localSheetId="3">評比系統!$T$1:$AF$3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4">PKA!#REF!</definedName>
    <definedName name="外部資料_459" localSheetId="15">PKB!#REF!</definedName>
    <definedName name="外部資料_459" localSheetId="16">PKC!#REF!</definedName>
    <definedName name="外部資料_459" localSheetId="3">評比系統!$T$1:$AF$3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4">PKA!#REF!</definedName>
    <definedName name="外部資料_46" localSheetId="15">PKB!#REF!</definedName>
    <definedName name="外部資料_46" localSheetId="16">PKC!#REF!</definedName>
    <definedName name="外部資料_46" localSheetId="7">PSR!#REF!</definedName>
    <definedName name="外部資料_46" localSheetId="3">評比系統!#REF!</definedName>
    <definedName name="外部資料_46" localSheetId="17">福邦!#REF!</definedName>
    <definedName name="外部資料_46" localSheetId="6">營收搶先報!#REF!</definedName>
    <definedName name="外部資料_460" localSheetId="14">PKA!#REF!</definedName>
    <definedName name="外部資料_460" localSheetId="15">PKB!#REF!</definedName>
    <definedName name="外部資料_460" localSheetId="16">PKC!#REF!</definedName>
    <definedName name="外部資料_460" localSheetId="3">評比系統!$T$1:$AF$3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4">PKA!#REF!</definedName>
    <definedName name="外部資料_461" localSheetId="15">PKB!#REF!</definedName>
    <definedName name="外部資料_461" localSheetId="16">PKC!#REF!</definedName>
    <definedName name="外部資料_461" localSheetId="3">評比系統!$T$1:$AF$3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4">PKA!#REF!</definedName>
    <definedName name="外部資料_462" localSheetId="15">PKB!#REF!</definedName>
    <definedName name="外部資料_462" localSheetId="16">PKC!#REF!</definedName>
    <definedName name="外部資料_462" localSheetId="3">評比系統!$T$1:$AF$3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4">PKA!#REF!</definedName>
    <definedName name="外部資料_463" localSheetId="15">PKB!#REF!</definedName>
    <definedName name="外部資料_463" localSheetId="16">PKC!#REF!</definedName>
    <definedName name="外部資料_463" localSheetId="3">評比系統!$T$1:$AF$3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4">PKA!#REF!</definedName>
    <definedName name="外部資料_464" localSheetId="15">PKB!#REF!</definedName>
    <definedName name="外部資料_464" localSheetId="16">PKC!#REF!</definedName>
    <definedName name="外部資料_464" localSheetId="3">評比系統!$T$1:$AF$3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4">PKA!#REF!</definedName>
    <definedName name="外部資料_465" localSheetId="15">PKB!#REF!</definedName>
    <definedName name="外部資料_465" localSheetId="16">PKC!#REF!</definedName>
    <definedName name="外部資料_465" localSheetId="3">評比系統!$T$1:$AF$3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4">PKA!#REF!</definedName>
    <definedName name="外部資料_466" localSheetId="15">PKB!#REF!</definedName>
    <definedName name="外部資料_466" localSheetId="16">PKC!#REF!</definedName>
    <definedName name="外部資料_466" localSheetId="3">評比系統!$T$1:$AF$3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4">PKA!#REF!</definedName>
    <definedName name="外部資料_467" localSheetId="15">PKB!#REF!</definedName>
    <definedName name="外部資料_467" localSheetId="16">PKC!#REF!</definedName>
    <definedName name="外部資料_467" localSheetId="3">評比系統!$T$1:$AF$3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4">PKA!#REF!</definedName>
    <definedName name="外部資料_468" localSheetId="15">PKB!#REF!</definedName>
    <definedName name="外部資料_468" localSheetId="16">PKC!#REF!</definedName>
    <definedName name="外部資料_468" localSheetId="3">評比系統!$T$1:$AF$3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4">PKA!#REF!</definedName>
    <definedName name="外部資料_469" localSheetId="15">PKB!#REF!</definedName>
    <definedName name="外部資料_469" localSheetId="16">PKC!#REF!</definedName>
    <definedName name="外部資料_469" localSheetId="3">評比系統!$T$1:$AF$3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4">PKA!#REF!</definedName>
    <definedName name="外部資料_47" localSheetId="15">PKB!#REF!</definedName>
    <definedName name="外部資料_47" localSheetId="16">PKC!#REF!</definedName>
    <definedName name="外部資料_47" localSheetId="7">PSR!#REF!</definedName>
    <definedName name="外部資料_47" localSheetId="3">評比系統!#REF!</definedName>
    <definedName name="外部資料_47" localSheetId="17">福邦!#REF!</definedName>
    <definedName name="外部資料_47" localSheetId="6">營收搶先報!#REF!</definedName>
    <definedName name="外部資料_470" localSheetId="14">PKA!#REF!</definedName>
    <definedName name="外部資料_470" localSheetId="15">PKB!#REF!</definedName>
    <definedName name="外部資料_470" localSheetId="16">PKC!#REF!</definedName>
    <definedName name="外部資料_470" localSheetId="3">評比系統!$T$1:$AF$3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4">PKA!#REF!</definedName>
    <definedName name="外部資料_471" localSheetId="15">PKB!#REF!</definedName>
    <definedName name="外部資料_471" localSheetId="16">PKC!#REF!</definedName>
    <definedName name="外部資料_471" localSheetId="3">評比系統!$T$1:$AF$3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4">PKA!#REF!</definedName>
    <definedName name="外部資料_472" localSheetId="15">PKB!#REF!</definedName>
    <definedName name="外部資料_472" localSheetId="16">PKC!#REF!</definedName>
    <definedName name="外部資料_472" localSheetId="3">評比系統!$T$1:$AF$3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4">PKA!#REF!</definedName>
    <definedName name="外部資料_473" localSheetId="15">PKB!#REF!</definedName>
    <definedName name="外部資料_473" localSheetId="16">PKC!#REF!</definedName>
    <definedName name="外部資料_473" localSheetId="3">評比系統!$T$1:$AF$3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4">PKA!#REF!</definedName>
    <definedName name="外部資料_474" localSheetId="15">PKB!#REF!</definedName>
    <definedName name="外部資料_474" localSheetId="16">PKC!#REF!</definedName>
    <definedName name="外部資料_474" localSheetId="3">評比系統!$T$1:$AF$3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4">PKA!#REF!</definedName>
    <definedName name="外部資料_475" localSheetId="15">PKB!#REF!</definedName>
    <definedName name="外部資料_475" localSheetId="16">PKC!#REF!</definedName>
    <definedName name="外部資料_475" localSheetId="3">評比系統!$T$1:$AF$3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4">PKA!#REF!</definedName>
    <definedName name="外部資料_476" localSheetId="15">PKB!#REF!</definedName>
    <definedName name="外部資料_476" localSheetId="16">PKC!#REF!</definedName>
    <definedName name="外部資料_476" localSheetId="3">評比系統!$T$1:$AF$3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4">PKA!#REF!</definedName>
    <definedName name="外部資料_477" localSheetId="15">PKB!#REF!</definedName>
    <definedName name="外部資料_477" localSheetId="16">PKC!#REF!</definedName>
    <definedName name="外部資料_477" localSheetId="3">評比系統!$T$1:$AF$3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4">PKA!#REF!</definedName>
    <definedName name="外部資料_478" localSheetId="15">PKB!#REF!</definedName>
    <definedName name="外部資料_478" localSheetId="16">PKC!#REF!</definedName>
    <definedName name="外部資料_478" localSheetId="3">評比系統!$T$1:$AF$3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4">PKA!#REF!</definedName>
    <definedName name="外部資料_479" localSheetId="15">PKB!#REF!</definedName>
    <definedName name="外部資料_479" localSheetId="16">PKC!#REF!</definedName>
    <definedName name="外部資料_479" localSheetId="3">評比系統!$T$1:$AF$3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4">PKA!#REF!</definedName>
    <definedName name="外部資料_48" localSheetId="15">PKB!#REF!</definedName>
    <definedName name="外部資料_48" localSheetId="16">PKC!#REF!</definedName>
    <definedName name="外部資料_48" localSheetId="7">PSR!#REF!</definedName>
    <definedName name="外部資料_48" localSheetId="3">評比系統!#REF!</definedName>
    <definedName name="外部資料_48" localSheetId="17">福邦!#REF!</definedName>
    <definedName name="外部資料_48" localSheetId="6">營收搶先報!#REF!</definedName>
    <definedName name="外部資料_480" localSheetId="14">PKA!#REF!</definedName>
    <definedName name="外部資料_480" localSheetId="15">PKB!#REF!</definedName>
    <definedName name="外部資料_480" localSheetId="16">PKC!#REF!</definedName>
    <definedName name="外部資料_480" localSheetId="3">評比系統!$T$1:$AF$3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4">PKA!#REF!</definedName>
    <definedName name="外部資料_481" localSheetId="15">PKB!#REF!</definedName>
    <definedName name="外部資料_481" localSheetId="16">PKC!#REF!</definedName>
    <definedName name="外部資料_481" localSheetId="3">評比系統!$T$1:$AF$3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4">PKA!#REF!</definedName>
    <definedName name="外部資料_482" localSheetId="15">PKB!#REF!</definedName>
    <definedName name="外部資料_482" localSheetId="16">PKC!#REF!</definedName>
    <definedName name="外部資料_482" localSheetId="3">評比系統!$T$1:$AF$3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4">PKA!#REF!</definedName>
    <definedName name="外部資料_483" localSheetId="15">PKB!#REF!</definedName>
    <definedName name="外部資料_483" localSheetId="16">PKC!#REF!</definedName>
    <definedName name="外部資料_483" localSheetId="3">評比系統!$T$1:$AF$3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4">PKA!#REF!</definedName>
    <definedName name="外部資料_484" localSheetId="15">PKB!#REF!</definedName>
    <definedName name="外部資料_484" localSheetId="16">PKC!#REF!</definedName>
    <definedName name="外部資料_484" localSheetId="3">評比系統!$T$1:$AF$3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4">PKA!#REF!</definedName>
    <definedName name="外部資料_485" localSheetId="15">PKB!#REF!</definedName>
    <definedName name="外部資料_485" localSheetId="16">PKC!#REF!</definedName>
    <definedName name="外部資料_485" localSheetId="3">評比系統!$T$1:$AF$3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4">PKA!#REF!</definedName>
    <definedName name="外部資料_486" localSheetId="15">PKB!#REF!</definedName>
    <definedName name="外部資料_486" localSheetId="16">PKC!#REF!</definedName>
    <definedName name="外部資料_486" localSheetId="3">評比系統!$T$1:$AF$3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4">PKA!#REF!</definedName>
    <definedName name="外部資料_487" localSheetId="15">PKB!#REF!</definedName>
    <definedName name="外部資料_487" localSheetId="16">PKC!#REF!</definedName>
    <definedName name="外部資料_487" localSheetId="3">評比系統!$T$1:$AF$3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4">PKA!#REF!</definedName>
    <definedName name="外部資料_488" localSheetId="15">PKB!#REF!</definedName>
    <definedName name="外部資料_488" localSheetId="16">PKC!#REF!</definedName>
    <definedName name="外部資料_488" localSheetId="3">評比系統!$T$1:$AF$3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4">PKA!#REF!</definedName>
    <definedName name="外部資料_489" localSheetId="15">PKB!#REF!</definedName>
    <definedName name="外部資料_489" localSheetId="16">PKC!#REF!</definedName>
    <definedName name="外部資料_489" localSheetId="3">評比系統!$T$1:$AF$3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4">PKA!#REF!</definedName>
    <definedName name="外部資料_49" localSheetId="15">PKB!#REF!</definedName>
    <definedName name="外部資料_49" localSheetId="16">PKC!#REF!</definedName>
    <definedName name="外部資料_49" localSheetId="7">PSR!#REF!</definedName>
    <definedName name="外部資料_49" localSheetId="3">評比系統!#REF!</definedName>
    <definedName name="外部資料_49" localSheetId="17">福邦!#REF!</definedName>
    <definedName name="外部資料_49" localSheetId="6">營收搶先報!#REF!</definedName>
    <definedName name="外部資料_490" localSheetId="14">PKA!#REF!</definedName>
    <definedName name="外部資料_490" localSheetId="15">PKB!#REF!</definedName>
    <definedName name="外部資料_490" localSheetId="16">PKC!#REF!</definedName>
    <definedName name="外部資料_490" localSheetId="3">評比系統!$T$1:$AF$3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4">PKA!#REF!</definedName>
    <definedName name="外部資料_491" localSheetId="15">PKB!#REF!</definedName>
    <definedName name="外部資料_491" localSheetId="16">PKC!#REF!</definedName>
    <definedName name="外部資料_491" localSheetId="3">評比系統!$T$1:$AF$3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4">PKA!#REF!</definedName>
    <definedName name="外部資料_492" localSheetId="15">PKB!#REF!</definedName>
    <definedName name="外部資料_492" localSheetId="16">PKC!#REF!</definedName>
    <definedName name="外部資料_492" localSheetId="3">評比系統!$T$1:$AF$3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4">PKA!#REF!</definedName>
    <definedName name="外部資料_493" localSheetId="15">PKB!#REF!</definedName>
    <definedName name="外部資料_493" localSheetId="16">PKC!#REF!</definedName>
    <definedName name="外部資料_493" localSheetId="3">評比系統!$T$1:$AF$3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4">PKA!#REF!</definedName>
    <definedName name="外部資料_494" localSheetId="15">PKB!#REF!</definedName>
    <definedName name="外部資料_494" localSheetId="16">PKC!#REF!</definedName>
    <definedName name="外部資料_494" localSheetId="3">評比系統!$T$1:$AF$3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4">PKA!#REF!</definedName>
    <definedName name="外部資料_495" localSheetId="15">PKB!#REF!</definedName>
    <definedName name="外部資料_495" localSheetId="16">PKC!#REF!</definedName>
    <definedName name="外部資料_495" localSheetId="3">評比系統!$T$1:$AF$3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4">PKA!#REF!</definedName>
    <definedName name="外部資料_496" localSheetId="15">PKB!#REF!</definedName>
    <definedName name="外部資料_496" localSheetId="16">PKC!#REF!</definedName>
    <definedName name="外部資料_496" localSheetId="3">評比系統!$T$1:$AF$3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4">PKA!#REF!</definedName>
    <definedName name="外部資料_497" localSheetId="15">PKB!#REF!</definedName>
    <definedName name="外部資料_497" localSheetId="16">PKC!#REF!</definedName>
    <definedName name="外部資料_497" localSheetId="3">評比系統!$T$1:$AF$3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4">PKA!#REF!</definedName>
    <definedName name="外部資料_498" localSheetId="15">PKB!#REF!</definedName>
    <definedName name="外部資料_498" localSheetId="16">PKC!#REF!</definedName>
    <definedName name="外部資料_498" localSheetId="3">評比系統!$T$1:$AF$3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4">PKA!#REF!</definedName>
    <definedName name="外部資料_499" localSheetId="15">PKB!#REF!</definedName>
    <definedName name="外部資料_499" localSheetId="16">PKC!#REF!</definedName>
    <definedName name="外部資料_499" localSheetId="3">評比系統!$T$1:$AF$3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4">PKA!#REF!</definedName>
    <definedName name="外部資料_5" localSheetId="15">PKB!#REF!</definedName>
    <definedName name="外部資料_5" localSheetId="16">PKC!#REF!</definedName>
    <definedName name="外部資料_5" localSheetId="7">PSR!#REF!</definedName>
    <definedName name="外部資料_5" localSheetId="2">紅綠燈!#REF!</definedName>
    <definedName name="外部資料_5" localSheetId="3">評比系統!#REF!</definedName>
    <definedName name="外部資料_5" localSheetId="9">葛林公式!$M$1:$W$61</definedName>
    <definedName name="外部資料_5" localSheetId="17">福邦!#REF!</definedName>
    <definedName name="外部資料_5" localSheetId="4">篩股系統!#REF!</definedName>
    <definedName name="外部資料_5" localSheetId="6">營收搶先報!#REF!</definedName>
    <definedName name="外部資料_50" localSheetId="14">PKA!#REF!</definedName>
    <definedName name="外部資料_50" localSheetId="15">PKB!#REF!</definedName>
    <definedName name="外部資料_50" localSheetId="16">PKC!#REF!</definedName>
    <definedName name="外部資料_50" localSheetId="7">PSR!#REF!</definedName>
    <definedName name="外部資料_50" localSheetId="3">評比系統!#REF!</definedName>
    <definedName name="外部資料_50" localSheetId="17">福邦!#REF!</definedName>
    <definedName name="外部資料_50" localSheetId="4">篩股系統!$C$8:$S$65</definedName>
    <definedName name="外部資料_50" localSheetId="6">營收搶先報!#REF!</definedName>
    <definedName name="外部資料_500" localSheetId="14">PKA!#REF!</definedName>
    <definedName name="外部資料_500" localSheetId="15">PKB!#REF!</definedName>
    <definedName name="外部資料_500" localSheetId="16">PKC!#REF!</definedName>
    <definedName name="外部資料_500" localSheetId="3">評比系統!$T$1:$AF$3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4">PKA!#REF!</definedName>
    <definedName name="外部資料_501" localSheetId="15">PKB!#REF!</definedName>
    <definedName name="外部資料_501" localSheetId="16">PKC!#REF!</definedName>
    <definedName name="外部資料_501" localSheetId="3">評比系統!$T$1:$AF$3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4">PKA!#REF!</definedName>
    <definedName name="外部資料_502" localSheetId="15">PKB!#REF!</definedName>
    <definedName name="外部資料_502" localSheetId="16">PKC!#REF!</definedName>
    <definedName name="外部資料_502" localSheetId="3">評比系統!$T$1:$AF$3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4">PKA!#REF!</definedName>
    <definedName name="外部資料_503" localSheetId="15">PKB!#REF!</definedName>
    <definedName name="外部資料_503" localSheetId="16">PKC!#REF!</definedName>
    <definedName name="外部資料_503" localSheetId="3">評比系統!$T$1:$AF$3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4">PKA!#REF!</definedName>
    <definedName name="外部資料_504" localSheetId="15">PKB!#REF!</definedName>
    <definedName name="外部資料_504" localSheetId="16">PKC!#REF!</definedName>
    <definedName name="外部資料_504" localSheetId="3">評比系統!$T$1:$AF$3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4">PKA!#REF!</definedName>
    <definedName name="外部資料_505" localSheetId="15">PKB!#REF!</definedName>
    <definedName name="外部資料_505" localSheetId="16">PKC!#REF!</definedName>
    <definedName name="外部資料_505" localSheetId="3">評比系統!$T$1:$AF$3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4">PKA!#REF!</definedName>
    <definedName name="外部資料_506" localSheetId="15">PKB!#REF!</definedName>
    <definedName name="外部資料_506" localSheetId="16">PKC!#REF!</definedName>
    <definedName name="外部資料_506" localSheetId="3">評比系統!$T$1:$AF$3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4">PKA!#REF!</definedName>
    <definedName name="外部資料_507" localSheetId="15">PKB!#REF!</definedName>
    <definedName name="外部資料_507" localSheetId="16">PKC!#REF!</definedName>
    <definedName name="外部資料_507" localSheetId="3">評比系統!$T$1:$AF$3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4">PKA!#REF!</definedName>
    <definedName name="外部資料_508" localSheetId="15">PKB!#REF!</definedName>
    <definedName name="外部資料_508" localSheetId="16">PKC!#REF!</definedName>
    <definedName name="外部資料_508" localSheetId="3">評比系統!$T$1:$AF$3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4">PKA!#REF!</definedName>
    <definedName name="外部資料_509" localSheetId="15">PKB!#REF!</definedName>
    <definedName name="外部資料_509" localSheetId="16">PKC!#REF!</definedName>
    <definedName name="外部資料_509" localSheetId="3">評比系統!$T$1:$AF$3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4">PKA!#REF!</definedName>
    <definedName name="外部資料_51" localSheetId="15">PKB!#REF!</definedName>
    <definedName name="外部資料_51" localSheetId="16">PKC!#REF!</definedName>
    <definedName name="外部資料_51" localSheetId="7">PSR!#REF!</definedName>
    <definedName name="外部資料_51" localSheetId="3">評比系統!$T$1:$T$3</definedName>
    <definedName name="外部資料_51" localSheetId="17">福邦!#REF!</definedName>
    <definedName name="外部資料_51" localSheetId="6">營收搶先報!#REF!</definedName>
    <definedName name="外部資料_510" localSheetId="14">PKA!#REF!</definedName>
    <definedName name="外部資料_510" localSheetId="15">PKB!#REF!</definedName>
    <definedName name="外部資料_510" localSheetId="16">PKC!#REF!</definedName>
    <definedName name="外部資料_510" localSheetId="3">評比系統!$T$1:$AF$3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4">PKA!#REF!</definedName>
    <definedName name="外部資料_511" localSheetId="15">PKB!#REF!</definedName>
    <definedName name="外部資料_511" localSheetId="16">PKC!#REF!</definedName>
    <definedName name="外部資料_511" localSheetId="3">評比系統!$T$1:$AF$3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4">PKA!#REF!</definedName>
    <definedName name="外部資料_512" localSheetId="15">PKB!#REF!</definedName>
    <definedName name="外部資料_512" localSheetId="16">PKC!#REF!</definedName>
    <definedName name="外部資料_512" localSheetId="3">評比系統!$T$1:$AF$3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4">PKA!#REF!</definedName>
    <definedName name="外部資料_513" localSheetId="15">PKB!#REF!</definedName>
    <definedName name="外部資料_513" localSheetId="16">PKC!#REF!</definedName>
    <definedName name="外部資料_513" localSheetId="3">評比系統!$T$1:$AF$3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4">PKA!#REF!</definedName>
    <definedName name="外部資料_514" localSheetId="15">PKB!#REF!</definedName>
    <definedName name="外部資料_514" localSheetId="16">PKC!#REF!</definedName>
    <definedName name="外部資料_514" localSheetId="3">評比系統!$T$1:$AF$3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4">PKA!#REF!</definedName>
    <definedName name="外部資料_515" localSheetId="15">PKB!#REF!</definedName>
    <definedName name="外部資料_515" localSheetId="16">PKC!#REF!</definedName>
    <definedName name="外部資料_515" localSheetId="3">評比系統!$T$1:$AF$3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4">PKA!#REF!</definedName>
    <definedName name="外部資料_516" localSheetId="15">PKB!#REF!</definedName>
    <definedName name="外部資料_516" localSheetId="16">PKC!#REF!</definedName>
    <definedName name="外部資料_516" localSheetId="3">評比系統!$T$1:$AF$3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4">PKA!#REF!</definedName>
    <definedName name="外部資料_517" localSheetId="15">PKB!#REF!</definedName>
    <definedName name="外部資料_517" localSheetId="16">PKC!#REF!</definedName>
    <definedName name="外部資料_517" localSheetId="3">評比系統!$T$1:$AF$3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4">PKA!#REF!</definedName>
    <definedName name="外部資料_518" localSheetId="15">PKB!#REF!</definedName>
    <definedName name="外部資料_518" localSheetId="16">PKC!#REF!</definedName>
    <definedName name="外部資料_518" localSheetId="3">評比系統!$T$1:$AF$3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4">PKA!#REF!</definedName>
    <definedName name="外部資料_519" localSheetId="15">PKB!#REF!</definedName>
    <definedName name="外部資料_519" localSheetId="16">PKC!#REF!</definedName>
    <definedName name="外部資料_519" localSheetId="3">評比系統!$T$1:$AF$3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4">PKA!#REF!</definedName>
    <definedName name="外部資料_52" localSheetId="15">PKB!#REF!</definedName>
    <definedName name="外部資料_52" localSheetId="16">PKC!#REF!</definedName>
    <definedName name="外部資料_52" localSheetId="7">PSR!#REF!</definedName>
    <definedName name="外部資料_52" localSheetId="3">評比系統!$T$1:$T$3</definedName>
    <definedName name="外部資料_52" localSheetId="17">福邦!#REF!</definedName>
    <definedName name="外部資料_52" localSheetId="6">營收搶先報!#REF!</definedName>
    <definedName name="外部資料_520" localSheetId="14">PKA!#REF!</definedName>
    <definedName name="外部資料_520" localSheetId="15">PKB!#REF!</definedName>
    <definedName name="外部資料_520" localSheetId="16">PKC!#REF!</definedName>
    <definedName name="外部資料_520" localSheetId="3">評比系統!$T$1:$AF$3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4">PKA!#REF!</definedName>
    <definedName name="外部資料_521" localSheetId="15">PKB!#REF!</definedName>
    <definedName name="外部資料_521" localSheetId="16">PKC!#REF!</definedName>
    <definedName name="外部資料_521" localSheetId="3">評比系統!$T$1:$AF$3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4">PKA!#REF!</definedName>
    <definedName name="外部資料_522" localSheetId="15">PKB!#REF!</definedName>
    <definedName name="外部資料_522" localSheetId="16">PKC!#REF!</definedName>
    <definedName name="外部資料_522" localSheetId="3">評比系統!$T$1:$AF$3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4">PKA!#REF!</definedName>
    <definedName name="外部資料_523" localSheetId="15">PKB!#REF!</definedName>
    <definedName name="外部資料_523" localSheetId="16">PKC!#REF!</definedName>
    <definedName name="外部資料_523" localSheetId="3">評比系統!$T$1:$AF$3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4">PKA!#REF!</definedName>
    <definedName name="外部資料_524" localSheetId="15">PKB!#REF!</definedName>
    <definedName name="外部資料_524" localSheetId="16">PKC!#REF!</definedName>
    <definedName name="外部資料_524" localSheetId="3">評比系統!$T$1:$AF$3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4">PKA!#REF!</definedName>
    <definedName name="外部資料_525" localSheetId="15">PKB!#REF!</definedName>
    <definedName name="外部資料_525" localSheetId="16">PKC!#REF!</definedName>
    <definedName name="外部資料_525" localSheetId="3">評比系統!$T$1:$AF$3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4">PKA!#REF!</definedName>
    <definedName name="外部資料_526" localSheetId="15">PKB!#REF!</definedName>
    <definedName name="外部資料_526" localSheetId="16">PKC!#REF!</definedName>
    <definedName name="外部資料_526" localSheetId="3">評比系統!$T$1:$AF$3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4">PKA!#REF!</definedName>
    <definedName name="外部資料_527" localSheetId="15">PKB!#REF!</definedName>
    <definedName name="外部資料_527" localSheetId="16">PKC!#REF!</definedName>
    <definedName name="外部資料_527" localSheetId="3">評比系統!$T$1:$AF$3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4">PKA!#REF!</definedName>
    <definedName name="外部資料_528" localSheetId="15">PKB!#REF!</definedName>
    <definedName name="外部資料_528" localSheetId="16">PKC!#REF!</definedName>
    <definedName name="外部資料_528" localSheetId="3">評比系統!$T$1:$AF$3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4">PKA!#REF!</definedName>
    <definedName name="外部資料_529" localSheetId="15">PKB!#REF!</definedName>
    <definedName name="外部資料_529" localSheetId="16">PKC!#REF!</definedName>
    <definedName name="外部資料_529" localSheetId="3">評比系統!$T$1:$AF$3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4">PKA!#REF!</definedName>
    <definedName name="外部資料_53" localSheetId="15">PKB!#REF!</definedName>
    <definedName name="外部資料_53" localSheetId="16">PKC!#REF!</definedName>
    <definedName name="外部資料_53" localSheetId="7">PSR!#REF!</definedName>
    <definedName name="外部資料_53" localSheetId="3">評比系統!$T$1:$T$3</definedName>
    <definedName name="外部資料_53" localSheetId="17">福邦!#REF!</definedName>
    <definedName name="外部資料_53" localSheetId="6">營收搶先報!#REF!</definedName>
    <definedName name="外部資料_530" localSheetId="14">PKA!#REF!</definedName>
    <definedName name="外部資料_530" localSheetId="15">PKB!#REF!</definedName>
    <definedName name="外部資料_530" localSheetId="16">PKC!#REF!</definedName>
    <definedName name="外部資料_530" localSheetId="3">評比系統!$T$1:$AF$3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4">PKA!#REF!</definedName>
    <definedName name="外部資料_531" localSheetId="15">PKB!#REF!</definedName>
    <definedName name="外部資料_531" localSheetId="16">PKC!#REF!</definedName>
    <definedName name="外部資料_531" localSheetId="3">評比系統!$T$1:$AF$3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4">PKA!#REF!</definedName>
    <definedName name="外部資料_532" localSheetId="15">PKB!#REF!</definedName>
    <definedName name="外部資料_532" localSheetId="16">PKC!#REF!</definedName>
    <definedName name="外部資料_532" localSheetId="3">評比系統!$T$1:$AF$3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4">PKA!#REF!</definedName>
    <definedName name="外部資料_533" localSheetId="15">PKB!#REF!</definedName>
    <definedName name="外部資料_533" localSheetId="16">PKC!#REF!</definedName>
    <definedName name="外部資料_533" localSheetId="3">評比系統!$T$1:$AF$3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4">PKA!#REF!</definedName>
    <definedName name="外部資料_534" localSheetId="15">PKB!#REF!</definedName>
    <definedName name="外部資料_534" localSheetId="16">PKC!#REF!</definedName>
    <definedName name="外部資料_534" localSheetId="3">評比系統!$T$1:$AF$3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4">PKA!#REF!</definedName>
    <definedName name="外部資料_535" localSheetId="15">PKB!#REF!</definedName>
    <definedName name="外部資料_535" localSheetId="16">PKC!#REF!</definedName>
    <definedName name="外部資料_535" localSheetId="3">評比系統!$T$1:$AF$3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4">PKA!#REF!</definedName>
    <definedName name="外部資料_536" localSheetId="15">PKB!#REF!</definedName>
    <definedName name="外部資料_536" localSheetId="16">PKC!#REF!</definedName>
    <definedName name="外部資料_536" localSheetId="3">評比系統!$T$1:$AF$3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4">PKA!#REF!</definedName>
    <definedName name="外部資料_537" localSheetId="15">PKB!#REF!</definedName>
    <definedName name="外部資料_537" localSheetId="16">PKC!#REF!</definedName>
    <definedName name="外部資料_537" localSheetId="3">評比系統!$T$1:$AF$3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4">PKA!#REF!</definedName>
    <definedName name="外部資料_538" localSheetId="15">PKB!#REF!</definedName>
    <definedName name="外部資料_538" localSheetId="16">PKC!#REF!</definedName>
    <definedName name="外部資料_538" localSheetId="3">評比系統!$T$1:$AF$3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4">PKA!#REF!</definedName>
    <definedName name="外部資料_539" localSheetId="15">PKB!#REF!</definedName>
    <definedName name="外部資料_539" localSheetId="16">PKC!#REF!</definedName>
    <definedName name="外部資料_539" localSheetId="3">評比系統!$T$1:$AF$3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4">PKA!#REF!</definedName>
    <definedName name="外部資料_54" localSheetId="15">PKB!#REF!</definedName>
    <definedName name="外部資料_54" localSheetId="16">PKC!#REF!</definedName>
    <definedName name="外部資料_54" localSheetId="7">PSR!#REF!</definedName>
    <definedName name="外部資料_54" localSheetId="3">評比系統!$T$1:$T$3</definedName>
    <definedName name="外部資料_54" localSheetId="17">福邦!#REF!</definedName>
    <definedName name="外部資料_54" localSheetId="6">營收搶先報!#REF!</definedName>
    <definedName name="外部資料_540" localSheetId="14">PKA!#REF!</definedName>
    <definedName name="外部資料_540" localSheetId="15">PKB!#REF!</definedName>
    <definedName name="外部資料_540" localSheetId="16">PKC!#REF!</definedName>
    <definedName name="外部資料_540" localSheetId="3">評比系統!$T$1:$AF$3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4">PKA!#REF!</definedName>
    <definedName name="外部資料_541" localSheetId="15">PKB!#REF!</definedName>
    <definedName name="外部資料_541" localSheetId="16">PKC!#REF!</definedName>
    <definedName name="外部資料_541" localSheetId="3">評比系統!$T$1:$AF$3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4">PKA!#REF!</definedName>
    <definedName name="外部資料_542" localSheetId="15">PKB!#REF!</definedName>
    <definedName name="外部資料_542" localSheetId="16">PKC!#REF!</definedName>
    <definedName name="外部資料_542" localSheetId="3">評比系統!$T$1:$AF$3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4">PKA!#REF!</definedName>
    <definedName name="外部資料_543" localSheetId="15">PKB!#REF!</definedName>
    <definedName name="外部資料_543" localSheetId="16">PKC!#REF!</definedName>
    <definedName name="外部資料_543" localSheetId="3">評比系統!$T$1:$AF$3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4">PKA!#REF!</definedName>
    <definedName name="外部資料_544" localSheetId="15">PKB!#REF!</definedName>
    <definedName name="外部資料_544" localSheetId="16">PKC!#REF!</definedName>
    <definedName name="外部資料_544" localSheetId="3">評比系統!$T$1:$AF$3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4">PKA!#REF!</definedName>
    <definedName name="外部資料_545" localSheetId="15">PKB!#REF!</definedName>
    <definedName name="外部資料_545" localSheetId="16">PKC!#REF!</definedName>
    <definedName name="外部資料_545" localSheetId="3">評比系統!$T$1:$AF$3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4">PKA!#REF!</definedName>
    <definedName name="外部資料_546" localSheetId="15">PKB!#REF!</definedName>
    <definedName name="外部資料_546" localSheetId="16">PKC!#REF!</definedName>
    <definedName name="外部資料_546" localSheetId="3">評比系統!$T$1:$AF$3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4">PKA!#REF!</definedName>
    <definedName name="外部資料_547" localSheetId="15">PKB!#REF!</definedName>
    <definedName name="外部資料_547" localSheetId="16">PKC!#REF!</definedName>
    <definedName name="外部資料_547" localSheetId="3">評比系統!$T$1:$AF$3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4">PKA!#REF!</definedName>
    <definedName name="外部資料_548" localSheetId="15">PKB!#REF!</definedName>
    <definedName name="外部資料_548" localSheetId="16">PKC!#REF!</definedName>
    <definedName name="外部資料_548" localSheetId="3">評比系統!$T$1:$AF$3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4">PKA!#REF!</definedName>
    <definedName name="外部資料_549" localSheetId="15">PKB!#REF!</definedName>
    <definedName name="外部資料_549" localSheetId="16">PKC!#REF!</definedName>
    <definedName name="外部資料_549" localSheetId="3">評比系統!$T$1:$AF$3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4">PKA!#REF!</definedName>
    <definedName name="外部資料_55" localSheetId="15">PKB!#REF!</definedName>
    <definedName name="外部資料_55" localSheetId="16">PKC!#REF!</definedName>
    <definedName name="外部資料_55" localSheetId="7">PSR!#REF!</definedName>
    <definedName name="外部資料_55" localSheetId="3">評比系統!$T$1:$T$3</definedName>
    <definedName name="外部資料_55" localSheetId="17">福邦!#REF!</definedName>
    <definedName name="外部資料_55" localSheetId="6">營收搶先報!#REF!</definedName>
    <definedName name="外部資料_550" localSheetId="14">PKA!#REF!</definedName>
    <definedName name="外部資料_550" localSheetId="15">PKB!#REF!</definedName>
    <definedName name="外部資料_550" localSheetId="16">PKC!#REF!</definedName>
    <definedName name="外部資料_550" localSheetId="3">評比系統!$T$1:$AF$3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4">PKA!#REF!</definedName>
    <definedName name="外部資料_551" localSheetId="15">PKB!#REF!</definedName>
    <definedName name="外部資料_551" localSheetId="16">PKC!#REF!</definedName>
    <definedName name="外部資料_551" localSheetId="3">評比系統!$T$1:$AF$3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4">PKA!#REF!</definedName>
    <definedName name="外部資料_552" localSheetId="15">PKB!#REF!</definedName>
    <definedName name="外部資料_552" localSheetId="16">PKC!#REF!</definedName>
    <definedName name="外部資料_552" localSheetId="3">評比系統!$T$1:$AF$3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4">PKA!#REF!</definedName>
    <definedName name="外部資料_553" localSheetId="15">PKB!#REF!</definedName>
    <definedName name="外部資料_553" localSheetId="16">PKC!#REF!</definedName>
    <definedName name="外部資料_553" localSheetId="3">評比系統!$T$1:$AF$3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4">PKA!#REF!</definedName>
    <definedName name="外部資料_554" localSheetId="15">PKB!#REF!</definedName>
    <definedName name="外部資料_554" localSheetId="16">PKC!#REF!</definedName>
    <definedName name="外部資料_554" localSheetId="3">評比系統!$T$1:$AF$3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4">PKA!#REF!</definedName>
    <definedName name="外部資料_555" localSheetId="15">PKB!#REF!</definedName>
    <definedName name="外部資料_555" localSheetId="16">PKC!#REF!</definedName>
    <definedName name="外部資料_555" localSheetId="3">評比系統!$T$1:$AF$3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4">PKA!#REF!</definedName>
    <definedName name="外部資料_556" localSheetId="15">PKB!#REF!</definedName>
    <definedName name="外部資料_556" localSheetId="16">PKC!#REF!</definedName>
    <definedName name="外部資料_556" localSheetId="3">評比系統!$T$1:$AF$3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4">PKA!#REF!</definedName>
    <definedName name="外部資料_557" localSheetId="15">PKB!#REF!</definedName>
    <definedName name="外部資料_557" localSheetId="16">PKC!#REF!</definedName>
    <definedName name="外部資料_557" localSheetId="3">評比系統!$T$1:$AF$3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4">PKA!#REF!</definedName>
    <definedName name="外部資料_558" localSheetId="15">PKB!#REF!</definedName>
    <definedName name="外部資料_558" localSheetId="16">PKC!#REF!</definedName>
    <definedName name="外部資料_558" localSheetId="3">評比系統!$T$1:$AF$3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4">PKA!#REF!</definedName>
    <definedName name="外部資料_559" localSheetId="15">PKB!#REF!</definedName>
    <definedName name="外部資料_559" localSheetId="16">PKC!#REF!</definedName>
    <definedName name="外部資料_559" localSheetId="3">評比系統!$T$1:$AF$3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4">PKA!#REF!</definedName>
    <definedName name="外部資料_56" localSheetId="15">PKB!#REF!</definedName>
    <definedName name="外部資料_56" localSheetId="16">PKC!#REF!</definedName>
    <definedName name="外部資料_56" localSheetId="7">PSR!#REF!</definedName>
    <definedName name="外部資料_56" localSheetId="3">評比系統!$T$1:$T$3</definedName>
    <definedName name="外部資料_56" localSheetId="17">福邦!#REF!</definedName>
    <definedName name="外部資料_56" localSheetId="6">營收搶先報!#REF!</definedName>
    <definedName name="外部資料_560" localSheetId="14">PKA!#REF!</definedName>
    <definedName name="外部資料_560" localSheetId="15">PKB!#REF!</definedName>
    <definedName name="外部資料_560" localSheetId="16">PKC!#REF!</definedName>
    <definedName name="外部資料_560" localSheetId="3">評比系統!$T$1:$AF$3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4">PKA!#REF!</definedName>
    <definedName name="外部資料_561" localSheetId="15">PKB!#REF!</definedName>
    <definedName name="外部資料_561" localSheetId="16">PKC!#REF!</definedName>
    <definedName name="外部資料_561" localSheetId="3">評比系統!$T$1:$AF$3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4">PKA!#REF!</definedName>
    <definedName name="外部資料_562" localSheetId="15">PKB!#REF!</definedName>
    <definedName name="外部資料_562" localSheetId="16">PKC!#REF!</definedName>
    <definedName name="外部資料_562" localSheetId="3">評比系統!$T$1:$AF$3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4">PKA!#REF!</definedName>
    <definedName name="外部資料_563" localSheetId="15">PKB!#REF!</definedName>
    <definedName name="外部資料_563" localSheetId="16">PKC!#REF!</definedName>
    <definedName name="外部資料_563" localSheetId="3">評比系統!$T$1:$AF$3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4">PKA!#REF!</definedName>
    <definedName name="外部資料_564" localSheetId="15">PKB!#REF!</definedName>
    <definedName name="外部資料_564" localSheetId="16">PKC!#REF!</definedName>
    <definedName name="外部資料_564" localSheetId="3">評比系統!$T$1:$AF$3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4">PKA!#REF!</definedName>
    <definedName name="外部資料_565" localSheetId="15">PKB!#REF!</definedName>
    <definedName name="外部資料_565" localSheetId="16">PKC!#REF!</definedName>
    <definedName name="外部資料_565" localSheetId="3">評比系統!$T$1:$AF$3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4">PKA!#REF!</definedName>
    <definedName name="外部資料_566" localSheetId="15">PKB!#REF!</definedName>
    <definedName name="外部資料_566" localSheetId="16">PKC!#REF!</definedName>
    <definedName name="外部資料_566" localSheetId="3">評比系統!$T$1:$AF$3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4">PKA!#REF!</definedName>
    <definedName name="外部資料_567" localSheetId="15">PKB!#REF!</definedName>
    <definedName name="外部資料_567" localSheetId="16">PKC!#REF!</definedName>
    <definedName name="外部資料_567" localSheetId="3">評比系統!$T$1:$AF$3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4">PKA!#REF!</definedName>
    <definedName name="外部資料_568" localSheetId="15">PKB!#REF!</definedName>
    <definedName name="外部資料_568" localSheetId="16">PKC!#REF!</definedName>
    <definedName name="外部資料_568" localSheetId="3">評比系統!$T$1:$AF$3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4">PKA!#REF!</definedName>
    <definedName name="外部資料_569" localSheetId="15">PKB!#REF!</definedName>
    <definedName name="外部資料_569" localSheetId="16">PKC!#REF!</definedName>
    <definedName name="外部資料_569" localSheetId="3">評比系統!$T$1:$AF$3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4">PKA!#REF!</definedName>
    <definedName name="外部資料_57" localSheetId="15">PKB!#REF!</definedName>
    <definedName name="外部資料_57" localSheetId="16">PKC!#REF!</definedName>
    <definedName name="外部資料_57" localSheetId="7">PSR!#REF!</definedName>
    <definedName name="外部資料_57" localSheetId="3">評比系統!$T$1:$T$3</definedName>
    <definedName name="外部資料_57" localSheetId="17">福邦!#REF!</definedName>
    <definedName name="外部資料_57" localSheetId="6">營收搶先報!#REF!</definedName>
    <definedName name="外部資料_570" localSheetId="14">PKA!#REF!</definedName>
    <definedName name="外部資料_570" localSheetId="15">PKB!#REF!</definedName>
    <definedName name="外部資料_570" localSheetId="16">PKC!#REF!</definedName>
    <definedName name="外部資料_570" localSheetId="3">評比系統!$T$1:$AF$3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4">PKA!#REF!</definedName>
    <definedName name="外部資料_571" localSheetId="15">PKB!#REF!</definedName>
    <definedName name="外部資料_571" localSheetId="16">PKC!#REF!</definedName>
    <definedName name="外部資料_571" localSheetId="3">評比系統!$T$1:$AF$3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4">PKA!#REF!</definedName>
    <definedName name="外部資料_572" localSheetId="15">PKB!#REF!</definedName>
    <definedName name="外部資料_572" localSheetId="16">PKC!#REF!</definedName>
    <definedName name="外部資料_572" localSheetId="3">評比系統!$T$1:$AF$3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4">PKA!#REF!</definedName>
    <definedName name="外部資料_573" localSheetId="15">PKB!#REF!</definedName>
    <definedName name="外部資料_573" localSheetId="16">PKC!#REF!</definedName>
    <definedName name="外部資料_573" localSheetId="3">評比系統!$T$1:$AF$3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4">PKA!#REF!</definedName>
    <definedName name="外部資料_574" localSheetId="15">PKB!#REF!</definedName>
    <definedName name="外部資料_574" localSheetId="16">PKC!#REF!</definedName>
    <definedName name="外部資料_574" localSheetId="3">評比系統!$T$1:$AF$3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4">PKA!#REF!</definedName>
    <definedName name="外部資料_575" localSheetId="15">PKB!#REF!</definedName>
    <definedName name="外部資料_575" localSheetId="16">PKC!#REF!</definedName>
    <definedName name="外部資料_575" localSheetId="3">評比系統!$T$1:$AF$3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4">PKA!#REF!</definedName>
    <definedName name="外部資料_576" localSheetId="15">PKB!#REF!</definedName>
    <definedName name="外部資料_576" localSheetId="16">PKC!#REF!</definedName>
    <definedName name="外部資料_576" localSheetId="3">評比系統!$T$1:$AF$3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4">PKA!#REF!</definedName>
    <definedName name="外部資料_577" localSheetId="15">PKB!#REF!</definedName>
    <definedName name="外部資料_577" localSheetId="16">PKC!#REF!</definedName>
    <definedName name="外部資料_577" localSheetId="3">評比系統!$T$1:$AF$3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4">PKA!#REF!</definedName>
    <definedName name="外部資料_578" localSheetId="15">PKB!#REF!</definedName>
    <definedName name="外部資料_578" localSheetId="16">PKC!#REF!</definedName>
    <definedName name="外部資料_578" localSheetId="3">評比系統!$T$1:$AF$3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4">PKA!#REF!</definedName>
    <definedName name="外部資料_579" localSheetId="15">PKB!#REF!</definedName>
    <definedName name="外部資料_579" localSheetId="16">PKC!#REF!</definedName>
    <definedName name="外部資料_579" localSheetId="3">評比系統!$T$1:$AF$3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4">PKA!#REF!</definedName>
    <definedName name="外部資料_58" localSheetId="15">PKB!#REF!</definedName>
    <definedName name="外部資料_58" localSheetId="16">PKC!#REF!</definedName>
    <definedName name="外部資料_58" localSheetId="7">PSR!#REF!</definedName>
    <definedName name="外部資料_58" localSheetId="3">評比系統!$T$1:$T$3</definedName>
    <definedName name="外部資料_58" localSheetId="17">福邦!#REF!</definedName>
    <definedName name="外部資料_58" localSheetId="6">營收搶先報!#REF!</definedName>
    <definedName name="外部資料_580" localSheetId="14">PKA!#REF!</definedName>
    <definedName name="外部資料_580" localSheetId="15">PKB!#REF!</definedName>
    <definedName name="外部資料_580" localSheetId="16">PKC!#REF!</definedName>
    <definedName name="外部資料_580" localSheetId="3">評比系統!$T$1:$AF$3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4">PKA!#REF!</definedName>
    <definedName name="外部資料_581" localSheetId="15">PKB!#REF!</definedName>
    <definedName name="外部資料_581" localSheetId="16">PKC!#REF!</definedName>
    <definedName name="外部資料_581" localSheetId="3">評比系統!$T$1:$AF$3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4">PKA!#REF!</definedName>
    <definedName name="外部資料_582" localSheetId="15">PKB!#REF!</definedName>
    <definedName name="外部資料_582" localSheetId="16">PKC!#REF!</definedName>
    <definedName name="外部資料_582" localSheetId="3">評比系統!$T$1:$AF$3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4">PKA!#REF!</definedName>
    <definedName name="外部資料_583" localSheetId="15">PKB!#REF!</definedName>
    <definedName name="外部資料_583" localSheetId="16">PKC!#REF!</definedName>
    <definedName name="外部資料_583" localSheetId="3">評比系統!$T$1:$AF$3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4">PKA!#REF!</definedName>
    <definedName name="外部資料_584" localSheetId="15">PKB!#REF!</definedName>
    <definedName name="外部資料_584" localSheetId="16">PKC!#REF!</definedName>
    <definedName name="外部資料_584" localSheetId="3">評比系統!$T$1:$AF$3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4">PKA!#REF!</definedName>
    <definedName name="外部資料_585" localSheetId="15">PKB!#REF!</definedName>
    <definedName name="外部資料_585" localSheetId="16">PKC!#REF!</definedName>
    <definedName name="外部資料_585" localSheetId="3">評比系統!$T$1:$AF$3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4">PKA!#REF!</definedName>
    <definedName name="外部資料_586" localSheetId="15">PKB!#REF!</definedName>
    <definedName name="外部資料_586" localSheetId="16">PKC!#REF!</definedName>
    <definedName name="外部資料_586" localSheetId="3">評比系統!$T$1:$AF$3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4">PKA!#REF!</definedName>
    <definedName name="外部資料_587" localSheetId="15">PKB!#REF!</definedName>
    <definedName name="外部資料_587" localSheetId="16">PKC!#REF!</definedName>
    <definedName name="外部資料_587" localSheetId="3">評比系統!$T$1:$AF$3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4">PKA!#REF!</definedName>
    <definedName name="外部資料_588" localSheetId="15">PKB!#REF!</definedName>
    <definedName name="外部資料_588" localSheetId="16">PKC!#REF!</definedName>
    <definedName name="外部資料_588" localSheetId="3">評比系統!$T$1:$AF$3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4">PKA!#REF!</definedName>
    <definedName name="外部資料_589" localSheetId="15">PKB!#REF!</definedName>
    <definedName name="外部資料_589" localSheetId="16">PKC!#REF!</definedName>
    <definedName name="外部資料_589" localSheetId="3">評比系統!$T$1:$AF$3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4">PKA!#REF!</definedName>
    <definedName name="外部資料_59" localSheetId="15">PKB!#REF!</definedName>
    <definedName name="外部資料_59" localSheetId="16">PKC!#REF!</definedName>
    <definedName name="外部資料_59" localSheetId="7">PSR!#REF!</definedName>
    <definedName name="外部資料_59" localSheetId="3">評比系統!$T$1:$T$3</definedName>
    <definedName name="外部資料_59" localSheetId="17">福邦!#REF!</definedName>
    <definedName name="外部資料_59" localSheetId="6">營收搶先報!#REF!</definedName>
    <definedName name="外部資料_590" localSheetId="14">PKA!#REF!</definedName>
    <definedName name="外部資料_590" localSheetId="15">PKB!#REF!</definedName>
    <definedName name="外部資料_590" localSheetId="16">PKC!#REF!</definedName>
    <definedName name="外部資料_590" localSheetId="3">評比系統!$T$1:$AF$3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4">PKA!#REF!</definedName>
    <definedName name="外部資料_591" localSheetId="15">PKB!#REF!</definedName>
    <definedName name="外部資料_591" localSheetId="16">PKC!#REF!</definedName>
    <definedName name="外部資料_591" localSheetId="3">評比系統!$T$1:$AF$3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4">PKA!#REF!</definedName>
    <definedName name="外部資料_592" localSheetId="15">PKB!#REF!</definedName>
    <definedName name="外部資料_592" localSheetId="16">PKC!#REF!</definedName>
    <definedName name="外部資料_592" localSheetId="3">評比系統!$T$1:$AF$3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4">PKA!#REF!</definedName>
    <definedName name="外部資料_593" localSheetId="15">PKB!#REF!</definedName>
    <definedName name="外部資料_593" localSheetId="16">PKC!#REF!</definedName>
    <definedName name="外部資料_593" localSheetId="3">評比系統!$T$1:$AF$3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4">PKA!#REF!</definedName>
    <definedName name="外部資料_594" localSheetId="15">PKB!#REF!</definedName>
    <definedName name="外部資料_594" localSheetId="16">PKC!#REF!</definedName>
    <definedName name="外部資料_594" localSheetId="3">評比系統!$T$1:$AF$3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4">PKA!#REF!</definedName>
    <definedName name="外部資料_595" localSheetId="15">PKB!#REF!</definedName>
    <definedName name="外部資料_595" localSheetId="16">PKC!#REF!</definedName>
    <definedName name="外部資料_595" localSheetId="3">評比系統!$T$1:$AF$3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4">PKA!#REF!</definedName>
    <definedName name="外部資料_596" localSheetId="15">PKB!#REF!</definedName>
    <definedName name="外部資料_596" localSheetId="16">PKC!#REF!</definedName>
    <definedName name="外部資料_596" localSheetId="3">評比系統!$T$1:$AF$3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4">PKA!#REF!</definedName>
    <definedName name="外部資料_597" localSheetId="15">PKB!#REF!</definedName>
    <definedName name="外部資料_597" localSheetId="16">PKC!#REF!</definedName>
    <definedName name="外部資料_597" localSheetId="3">評比系統!$T$1:$AF$3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4">PKA!#REF!</definedName>
    <definedName name="外部資料_598" localSheetId="15">PKB!#REF!</definedName>
    <definedName name="外部資料_598" localSheetId="16">PKC!$A$1:$K$65</definedName>
    <definedName name="外部資料_598" localSheetId="3">評比系統!$T$1:$AF$3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4">PKA!#REF!</definedName>
    <definedName name="外部資料_599" localSheetId="15">PKB!#REF!</definedName>
    <definedName name="外部資料_599" localSheetId="16">PKC!$A$100:$K$160</definedName>
    <definedName name="外部資料_599" localSheetId="3">評比系統!$T$1:$AF$3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4">PKA!#REF!</definedName>
    <definedName name="外部資料_6" localSheetId="15">PKB!#REF!</definedName>
    <definedName name="外部資料_6" localSheetId="16">PKC!#REF!</definedName>
    <definedName name="外部資料_6" localSheetId="7">PSR!#REF!</definedName>
    <definedName name="外部資料_6" localSheetId="2">紅綠燈!#REF!</definedName>
    <definedName name="外部資料_6" localSheetId="3">評比系統!#REF!</definedName>
    <definedName name="外部資料_6" localSheetId="9">葛林公式!$M$1:$W$61</definedName>
    <definedName name="外部資料_6" localSheetId="17">福邦!#REF!</definedName>
    <definedName name="外部資料_6" localSheetId="4">篩股系統!#REF!</definedName>
    <definedName name="外部資料_6" localSheetId="6">營收搶先報!#REF!</definedName>
    <definedName name="外部資料_60" localSheetId="14">PKA!#REF!</definedName>
    <definedName name="外部資料_60" localSheetId="15">PKB!#REF!</definedName>
    <definedName name="外部資料_60" localSheetId="16">PKC!#REF!</definedName>
    <definedName name="外部資料_60" localSheetId="7">PSR!#REF!</definedName>
    <definedName name="外部資料_60" localSheetId="3">評比系統!$T$1:$T$3</definedName>
    <definedName name="外部資料_60" localSheetId="17">福邦!#REF!</definedName>
    <definedName name="外部資料_60" localSheetId="6">營收搶先報!#REF!</definedName>
    <definedName name="外部資料_600" localSheetId="14">PKA!#REF!</definedName>
    <definedName name="外部資料_600" localSheetId="15">PKB!#REF!</definedName>
    <definedName name="外部資料_600" localSheetId="16">PKC!$A$200:$K$247</definedName>
    <definedName name="外部資料_600" localSheetId="3">評比系統!$T$1:$AF$3</definedName>
    <definedName name="外部資料_601" localSheetId="14">PKA!#REF!</definedName>
    <definedName name="外部資料_601" localSheetId="15">PKB!#REF!</definedName>
    <definedName name="外部資料_601" localSheetId="3">評比系統!$T$1:$AF$3</definedName>
    <definedName name="外部資料_602" localSheetId="14">PKA!#REF!</definedName>
    <definedName name="外部資料_602" localSheetId="15">PKB!#REF!</definedName>
    <definedName name="外部資料_602" localSheetId="3">評比系統!$T$1:$AF$3</definedName>
    <definedName name="外部資料_603" localSheetId="14">PKA!#REF!</definedName>
    <definedName name="外部資料_603" localSheetId="15">PKB!#REF!</definedName>
    <definedName name="外部資料_603" localSheetId="3">評比系統!$T$1:$AF$3</definedName>
    <definedName name="外部資料_604" localSheetId="14">PKA!#REF!</definedName>
    <definedName name="外部資料_604" localSheetId="15">PKB!#REF!</definedName>
    <definedName name="外部資料_604" localSheetId="3">評比系統!$T$1:$AF$3</definedName>
    <definedName name="外部資料_605" localSheetId="14">PKA!#REF!</definedName>
    <definedName name="外部資料_605" localSheetId="15">PKB!#REF!</definedName>
    <definedName name="外部資料_605" localSheetId="3">評比系統!$T$1:$AF$3</definedName>
    <definedName name="外部資料_606" localSheetId="14">PKA!#REF!</definedName>
    <definedName name="外部資料_606" localSheetId="15">PKB!#REF!</definedName>
    <definedName name="外部資料_606" localSheetId="3">評比系統!$T$1:$AF$3</definedName>
    <definedName name="外部資料_607" localSheetId="14">PKA!#REF!</definedName>
    <definedName name="外部資料_607" localSheetId="15">PKB!#REF!</definedName>
    <definedName name="外部資料_607" localSheetId="3">評比系統!$T$1:$AF$3</definedName>
    <definedName name="外部資料_608" localSheetId="14">PKA!#REF!</definedName>
    <definedName name="外部資料_608" localSheetId="15">PKB!#REF!</definedName>
    <definedName name="外部資料_608" localSheetId="3">評比系統!$T$1:$AF$3</definedName>
    <definedName name="外部資料_609" localSheetId="14">PKA!#REF!</definedName>
    <definedName name="外部資料_609" localSheetId="15">PKB!#REF!</definedName>
    <definedName name="外部資料_609" localSheetId="3">評比系統!$T$1:$AF$3</definedName>
    <definedName name="外部資料_61" localSheetId="14">PKA!#REF!</definedName>
    <definedName name="外部資料_61" localSheetId="15">PKB!#REF!</definedName>
    <definedName name="外部資料_61" localSheetId="16">PKC!#REF!</definedName>
    <definedName name="外部資料_61" localSheetId="7">PSR!#REF!</definedName>
    <definedName name="外部資料_61" localSheetId="3">評比系統!$T$1:$T$3</definedName>
    <definedName name="外部資料_61" localSheetId="17">福邦!#REF!</definedName>
    <definedName name="外部資料_61" localSheetId="6">營收搶先報!#REF!</definedName>
    <definedName name="外部資料_610" localSheetId="14">PKA!#REF!</definedName>
    <definedName name="外部資料_610" localSheetId="15">PKB!#REF!</definedName>
    <definedName name="外部資料_610" localSheetId="3">評比系統!$T$1:$AF$3</definedName>
    <definedName name="外部資料_611" localSheetId="14">PKA!#REF!</definedName>
    <definedName name="外部資料_611" localSheetId="15">PKB!#REF!</definedName>
    <definedName name="外部資料_611" localSheetId="3">評比系統!$T$1:$AF$3</definedName>
    <definedName name="外部資料_612" localSheetId="14">PKA!#REF!</definedName>
    <definedName name="外部資料_612" localSheetId="15">PKB!#REF!</definedName>
    <definedName name="外部資料_612" localSheetId="3">評比系統!$T$1:$AF$3</definedName>
    <definedName name="外部資料_613" localSheetId="14">PKA!#REF!</definedName>
    <definedName name="外部資料_613" localSheetId="15">PKB!#REF!</definedName>
    <definedName name="外部資料_613" localSheetId="3">評比系統!$T$1:$AF$3</definedName>
    <definedName name="外部資料_614" localSheetId="14">PKA!#REF!</definedName>
    <definedName name="外部資料_614" localSheetId="15">PKB!#REF!</definedName>
    <definedName name="外部資料_614" localSheetId="3">評比系統!$T$1:$AF$3</definedName>
    <definedName name="外部資料_615" localSheetId="14">PKA!#REF!</definedName>
    <definedName name="外部資料_615" localSheetId="15">PKB!#REF!</definedName>
    <definedName name="外部資料_615" localSheetId="3">評比系統!$T$1:$AF$3</definedName>
    <definedName name="外部資料_616" localSheetId="14">PKA!#REF!</definedName>
    <definedName name="外部資料_616" localSheetId="15">PKB!#REF!</definedName>
    <definedName name="外部資料_616" localSheetId="3">評比系統!$T$1:$AF$3</definedName>
    <definedName name="外部資料_617" localSheetId="14">PKA!#REF!</definedName>
    <definedName name="外部資料_617" localSheetId="15">PKB!#REF!</definedName>
    <definedName name="外部資料_617" localSheetId="3">評比系統!$T$1:$AF$3</definedName>
    <definedName name="外部資料_618" localSheetId="14">PKA!#REF!</definedName>
    <definedName name="外部資料_618" localSheetId="15">PKB!#REF!</definedName>
    <definedName name="外部資料_618" localSheetId="3">評比系統!$T$1:$AF$3</definedName>
    <definedName name="外部資料_619" localSheetId="14">PKA!#REF!</definedName>
    <definedName name="外部資料_619" localSheetId="15">PKB!#REF!</definedName>
    <definedName name="外部資料_619" localSheetId="3">評比系統!$T$1:$AF$3</definedName>
    <definedName name="外部資料_62" localSheetId="14">PKA!#REF!</definedName>
    <definedName name="外部資料_62" localSheetId="15">PKB!#REF!</definedName>
    <definedName name="外部資料_62" localSheetId="16">PKC!#REF!</definedName>
    <definedName name="外部資料_62" localSheetId="7">PSR!#REF!</definedName>
    <definedName name="外部資料_62" localSheetId="3">評比系統!$T$1:$T$3</definedName>
    <definedName name="外部資料_62" localSheetId="17">福邦!#REF!</definedName>
    <definedName name="外部資料_62" localSheetId="6">營收搶先報!#REF!</definedName>
    <definedName name="外部資料_620" localSheetId="14">PKA!#REF!</definedName>
    <definedName name="外部資料_620" localSheetId="15">PKB!#REF!</definedName>
    <definedName name="外部資料_620" localSheetId="3">評比系統!$T$1:$AF$3</definedName>
    <definedName name="外部資料_621" localSheetId="14">PKA!#REF!</definedName>
    <definedName name="外部資料_621" localSheetId="15">PKB!#REF!</definedName>
    <definedName name="外部資料_621" localSheetId="3">評比系統!$T$1:$AF$3</definedName>
    <definedName name="外部資料_622" localSheetId="14">PKA!#REF!</definedName>
    <definedName name="外部資料_622" localSheetId="15">PKB!#REF!</definedName>
    <definedName name="外部資料_622" localSheetId="3">評比系統!$T$1:$AF$3</definedName>
    <definedName name="外部資料_623" localSheetId="14">PKA!#REF!</definedName>
    <definedName name="外部資料_623" localSheetId="15">PKB!#REF!</definedName>
    <definedName name="外部資料_623" localSheetId="3">評比系統!$T$1:$AF$3</definedName>
    <definedName name="外部資料_624" localSheetId="14">PKA!#REF!</definedName>
    <definedName name="外部資料_624" localSheetId="15">PKB!#REF!</definedName>
    <definedName name="外部資料_624" localSheetId="3">評比系統!$T$1:$AF$3</definedName>
    <definedName name="外部資料_625" localSheetId="14">PKA!#REF!</definedName>
    <definedName name="外部資料_625" localSheetId="15">PKB!#REF!</definedName>
    <definedName name="外部資料_625" localSheetId="3">評比系統!$T$1:$AF$3</definedName>
    <definedName name="外部資料_626" localSheetId="14">PKA!#REF!</definedName>
    <definedName name="外部資料_626" localSheetId="15">PKB!#REF!</definedName>
    <definedName name="外部資料_626" localSheetId="3">評比系統!$T$1:$AF$3</definedName>
    <definedName name="外部資料_627" localSheetId="14">PKA!#REF!</definedName>
    <definedName name="外部資料_627" localSheetId="15">PKB!#REF!</definedName>
    <definedName name="外部資料_627" localSheetId="3">評比系統!$T$1:$AF$3</definedName>
    <definedName name="外部資料_628" localSheetId="14">PKA!#REF!</definedName>
    <definedName name="外部資料_628" localSheetId="15">PKB!#REF!</definedName>
    <definedName name="外部資料_628" localSheetId="3">評比系統!$T$1:$AF$3</definedName>
    <definedName name="外部資料_629" localSheetId="14">PKA!#REF!</definedName>
    <definedName name="外部資料_629" localSheetId="15">PKB!#REF!</definedName>
    <definedName name="外部資料_629" localSheetId="3">評比系統!$T$1:$AF$3</definedName>
    <definedName name="外部資料_63" localSheetId="14">PKA!#REF!</definedName>
    <definedName name="外部資料_63" localSheetId="15">PKB!#REF!</definedName>
    <definedName name="外部資料_63" localSheetId="16">PKC!#REF!</definedName>
    <definedName name="外部資料_63" localSheetId="7">PSR!#REF!</definedName>
    <definedName name="外部資料_63" localSheetId="3">評比系統!$T$1:$T$3</definedName>
    <definedName name="外部資料_63" localSheetId="17">福邦!#REF!</definedName>
    <definedName name="外部資料_63" localSheetId="6">營收搶先報!#REF!</definedName>
    <definedName name="外部資料_630" localSheetId="14">PKA!#REF!</definedName>
    <definedName name="外部資料_630" localSheetId="15">PKB!#REF!</definedName>
    <definedName name="外部資料_630" localSheetId="3">評比系統!$T$1:$AF$3</definedName>
    <definedName name="外部資料_631" localSheetId="14">PKA!#REF!</definedName>
    <definedName name="外部資料_631" localSheetId="15">PKB!#REF!</definedName>
    <definedName name="外部資料_631" localSheetId="3">評比系統!$T$1:$AF$3</definedName>
    <definedName name="外部資料_632" localSheetId="14">PKA!#REF!</definedName>
    <definedName name="外部資料_632" localSheetId="15">PKB!#REF!</definedName>
    <definedName name="外部資料_632" localSheetId="3">評比系統!$T$1:$AF$3</definedName>
    <definedName name="外部資料_633" localSheetId="14">PKA!#REF!</definedName>
    <definedName name="外部資料_633" localSheetId="15">PKB!#REF!</definedName>
    <definedName name="外部資料_633" localSheetId="3">評比系統!$T$1:$AF$3</definedName>
    <definedName name="外部資料_634" localSheetId="14">PKA!#REF!</definedName>
    <definedName name="外部資料_634" localSheetId="15">PKB!#REF!</definedName>
    <definedName name="外部資料_634" localSheetId="3">評比系統!$T$1:$AF$3</definedName>
    <definedName name="外部資料_635" localSheetId="14">PKA!#REF!</definedName>
    <definedName name="外部資料_635" localSheetId="15">PKB!#REF!</definedName>
    <definedName name="外部資料_635" localSheetId="3">評比系統!$T$1:$AF$3</definedName>
    <definedName name="外部資料_636" localSheetId="14">PKA!#REF!</definedName>
    <definedName name="外部資料_636" localSheetId="15">PKB!#REF!</definedName>
    <definedName name="外部資料_636" localSheetId="3">評比系統!$T$1:$AF$3</definedName>
    <definedName name="外部資料_637" localSheetId="14">PKA!#REF!</definedName>
    <definedName name="外部資料_637" localSheetId="15">PKB!#REF!</definedName>
    <definedName name="外部資料_637" localSheetId="3">評比系統!$T$1:$AF$3</definedName>
    <definedName name="外部資料_638" localSheetId="14">PKA!#REF!</definedName>
    <definedName name="外部資料_638" localSheetId="15">PKB!#REF!</definedName>
    <definedName name="外部資料_638" localSheetId="3">評比系統!$T$1:$AF$3</definedName>
    <definedName name="外部資料_639" localSheetId="14">PKA!#REF!</definedName>
    <definedName name="外部資料_639" localSheetId="15">PKB!#REF!</definedName>
    <definedName name="外部資料_639" localSheetId="3">評比系統!$T$1:$AF$3</definedName>
    <definedName name="外部資料_64" localSheetId="14">PKA!#REF!</definedName>
    <definedName name="外部資料_64" localSheetId="15">PKB!#REF!</definedName>
    <definedName name="外部資料_64" localSheetId="16">PKC!#REF!</definedName>
    <definedName name="外部資料_64" localSheetId="7">PSR!#REF!</definedName>
    <definedName name="外部資料_64" localSheetId="3">評比系統!$T$1:$T$3</definedName>
    <definedName name="外部資料_64" localSheetId="17">福邦!#REF!</definedName>
    <definedName name="外部資料_64" localSheetId="6">營收搶先報!#REF!</definedName>
    <definedName name="外部資料_640" localSheetId="14">PKA!#REF!</definedName>
    <definedName name="外部資料_640" localSheetId="15">PKB!#REF!</definedName>
    <definedName name="外部資料_640" localSheetId="3">評比系統!$T$1:$AF$3</definedName>
    <definedName name="外部資料_641" localSheetId="14">PKA!#REF!</definedName>
    <definedName name="外部資料_641" localSheetId="15">PKB!#REF!</definedName>
    <definedName name="外部資料_641" localSheetId="3">評比系統!$T$1:$AF$3</definedName>
    <definedName name="外部資料_642" localSheetId="14">PKA!#REF!</definedName>
    <definedName name="外部資料_642" localSheetId="15">PKB!#REF!</definedName>
    <definedName name="外部資料_642" localSheetId="3">評比系統!$T$1:$AF$3</definedName>
    <definedName name="外部資料_643" localSheetId="14">PKA!#REF!</definedName>
    <definedName name="外部資料_643" localSheetId="15">PKB!#REF!</definedName>
    <definedName name="外部資料_643" localSheetId="3">評比系統!$T$1:$AF$3</definedName>
    <definedName name="外部資料_644" localSheetId="14">PKA!#REF!</definedName>
    <definedName name="外部資料_644" localSheetId="15">PKB!#REF!</definedName>
    <definedName name="外部資料_644" localSheetId="3">評比系統!$T$1:$AF$3</definedName>
    <definedName name="外部資料_645" localSheetId="14">PKA!#REF!</definedName>
    <definedName name="外部資料_645" localSheetId="15">PKB!#REF!</definedName>
    <definedName name="外部資料_645" localSheetId="3">評比系統!$T$1:$AF$3</definedName>
    <definedName name="外部資料_646" localSheetId="14">PKA!#REF!</definedName>
    <definedName name="外部資料_646" localSheetId="15">PKB!#REF!</definedName>
    <definedName name="外部資料_646" localSheetId="3">評比系統!$T$1:$AF$3</definedName>
    <definedName name="外部資料_647" localSheetId="14">PKA!#REF!</definedName>
    <definedName name="外部資料_647" localSheetId="15">PKB!#REF!</definedName>
    <definedName name="外部資料_647" localSheetId="3">評比系統!$T$1:$AF$3</definedName>
    <definedName name="外部資料_648" localSheetId="14">PKA!#REF!</definedName>
    <definedName name="外部資料_648" localSheetId="15">PKB!#REF!</definedName>
    <definedName name="外部資料_648" localSheetId="3">評比系統!$T$1:$AF$3</definedName>
    <definedName name="外部資料_649" localSheetId="14">PKA!#REF!</definedName>
    <definedName name="外部資料_649" localSheetId="15">PKB!#REF!</definedName>
    <definedName name="外部資料_649" localSheetId="3">評比系統!$T$1:$AF$3</definedName>
    <definedName name="外部資料_65" localSheetId="14">PKA!#REF!</definedName>
    <definedName name="外部資料_65" localSheetId="15">PKB!#REF!</definedName>
    <definedName name="外部資料_65" localSheetId="16">PKC!#REF!</definedName>
    <definedName name="外部資料_65" localSheetId="7">PSR!#REF!</definedName>
    <definedName name="外部資料_65" localSheetId="3">評比系統!$T$1:$T$3</definedName>
    <definedName name="外部資料_65" localSheetId="17">福邦!#REF!</definedName>
    <definedName name="外部資料_65" localSheetId="6">營收搶先報!#REF!</definedName>
    <definedName name="外部資料_650" localSheetId="14">PKA!#REF!</definedName>
    <definedName name="外部資料_650" localSheetId="15">PKB!#REF!</definedName>
    <definedName name="外部資料_650" localSheetId="3">評比系統!$T$1:$AF$3</definedName>
    <definedName name="外部資料_651" localSheetId="14">PKA!#REF!</definedName>
    <definedName name="外部資料_651" localSheetId="15">PKB!#REF!</definedName>
    <definedName name="外部資料_651" localSheetId="3">評比系統!$T$1:$AF$3</definedName>
    <definedName name="外部資料_652" localSheetId="14">PKA!#REF!</definedName>
    <definedName name="外部資料_652" localSheetId="15">PKB!#REF!</definedName>
    <definedName name="外部資料_652" localSheetId="3">評比系統!$T$1:$AF$3</definedName>
    <definedName name="外部資料_653" localSheetId="14">PKA!#REF!</definedName>
    <definedName name="外部資料_653" localSheetId="15">PKB!#REF!</definedName>
    <definedName name="外部資料_653" localSheetId="3">評比系統!$T$1:$AF$3</definedName>
    <definedName name="外部資料_654" localSheetId="14">PKA!#REF!</definedName>
    <definedName name="外部資料_654" localSheetId="15">PKB!#REF!</definedName>
    <definedName name="外部資料_654" localSheetId="3">評比系統!$T$1:$AF$3</definedName>
    <definedName name="外部資料_655" localSheetId="14">PKA!#REF!</definedName>
    <definedName name="外部資料_655" localSheetId="15">PKB!#REF!</definedName>
    <definedName name="外部資料_655" localSheetId="3">評比系統!$T$1:$AF$3</definedName>
    <definedName name="外部資料_656" localSheetId="14">PKA!#REF!</definedName>
    <definedName name="外部資料_656" localSheetId="15">PKB!#REF!</definedName>
    <definedName name="外部資料_656" localSheetId="3">評比系統!$T$1:$AF$3</definedName>
    <definedName name="外部資料_657" localSheetId="14">PKA!#REF!</definedName>
    <definedName name="外部資料_657" localSheetId="15">PKB!#REF!</definedName>
    <definedName name="外部資料_657" localSheetId="3">評比系統!$T$1:$AF$3</definedName>
    <definedName name="外部資料_658" localSheetId="14">PKA!#REF!</definedName>
    <definedName name="外部資料_658" localSheetId="15">PKB!#REF!</definedName>
    <definedName name="外部資料_658" localSheetId="3">評比系統!$T$1:$AF$3</definedName>
    <definedName name="外部資料_659" localSheetId="14">PKA!#REF!</definedName>
    <definedName name="外部資料_659" localSheetId="15">PKB!#REF!</definedName>
    <definedName name="外部資料_659" localSheetId="3">評比系統!$T$1:$AF$3</definedName>
    <definedName name="外部資料_66" localSheetId="14">PKA!#REF!</definedName>
    <definedName name="外部資料_66" localSheetId="15">PKB!#REF!</definedName>
    <definedName name="外部資料_66" localSheetId="16">PKC!#REF!</definedName>
    <definedName name="外部資料_66" localSheetId="7">PSR!#REF!</definedName>
    <definedName name="外部資料_66" localSheetId="3">評比系統!$T$1:$T$3</definedName>
    <definedName name="外部資料_66" localSheetId="17">福邦!#REF!</definedName>
    <definedName name="外部資料_66" localSheetId="6">營收搶先報!#REF!</definedName>
    <definedName name="外部資料_660" localSheetId="14">PKA!#REF!</definedName>
    <definedName name="外部資料_660" localSheetId="15">PKB!#REF!</definedName>
    <definedName name="外部資料_660" localSheetId="3">評比系統!$T$1:$AF$3</definedName>
    <definedName name="外部資料_661" localSheetId="14">PKA!#REF!</definedName>
    <definedName name="外部資料_661" localSheetId="15">PKB!#REF!</definedName>
    <definedName name="外部資料_661" localSheetId="3">評比系統!$T$1:$AF$3</definedName>
    <definedName name="外部資料_662" localSheetId="14">PKA!#REF!</definedName>
    <definedName name="外部資料_662" localSheetId="15">PKB!#REF!</definedName>
    <definedName name="外部資料_662" localSheetId="3">評比系統!$T$1:$AF$3</definedName>
    <definedName name="外部資料_663" localSheetId="14">PKA!#REF!</definedName>
    <definedName name="外部資料_663" localSheetId="15">PKB!#REF!</definedName>
    <definedName name="外部資料_663" localSheetId="3">評比系統!$T$1:$AF$3</definedName>
    <definedName name="外部資料_664" localSheetId="14">PKA!#REF!</definedName>
    <definedName name="外部資料_664" localSheetId="15">PKB!#REF!</definedName>
    <definedName name="外部資料_664" localSheetId="3">評比系統!$T$1:$AF$3</definedName>
    <definedName name="外部資料_665" localSheetId="14">PKA!#REF!</definedName>
    <definedName name="外部資料_665" localSheetId="15">PKB!#REF!</definedName>
    <definedName name="外部資料_665" localSheetId="3">評比系統!$T$1:$AF$3</definedName>
    <definedName name="外部資料_666" localSheetId="14">PKA!#REF!</definedName>
    <definedName name="外部資料_666" localSheetId="15">PKB!#REF!</definedName>
    <definedName name="外部資料_666" localSheetId="3">評比系統!$T$1:$AF$3</definedName>
    <definedName name="外部資料_667" localSheetId="14">PKA!#REF!</definedName>
    <definedName name="外部資料_667" localSheetId="15">PKB!#REF!</definedName>
    <definedName name="外部資料_667" localSheetId="3">評比系統!$T$1:$AF$3</definedName>
    <definedName name="外部資料_668" localSheetId="14">PKA!#REF!</definedName>
    <definedName name="外部資料_668" localSheetId="15">PKB!#REF!</definedName>
    <definedName name="外部資料_668" localSheetId="3">評比系統!$T$1:$AF$3</definedName>
    <definedName name="外部資料_669" localSheetId="14">PKA!#REF!</definedName>
    <definedName name="外部資料_669" localSheetId="15">PKB!#REF!</definedName>
    <definedName name="外部資料_669" localSheetId="3">評比系統!$T$1:$AF$3</definedName>
    <definedName name="外部資料_67" localSheetId="14">PKA!#REF!</definedName>
    <definedName name="外部資料_67" localSheetId="15">PKB!#REF!</definedName>
    <definedName name="外部資料_67" localSheetId="16">PKC!#REF!</definedName>
    <definedName name="外部資料_67" localSheetId="7">PSR!#REF!</definedName>
    <definedName name="外部資料_67" localSheetId="3">評比系統!$T$1:$T$3</definedName>
    <definedName name="外部資料_67" localSheetId="17">福邦!#REF!</definedName>
    <definedName name="外部資料_67" localSheetId="6">營收搶先報!#REF!</definedName>
    <definedName name="外部資料_670" localSheetId="14">PKA!#REF!</definedName>
    <definedName name="外部資料_670" localSheetId="15">PKB!#REF!</definedName>
    <definedName name="外部資料_670" localSheetId="3">評比系統!$T$1:$AF$3</definedName>
    <definedName name="外部資料_671" localSheetId="14">PKA!#REF!</definedName>
    <definedName name="外部資料_671" localSheetId="15">PKB!#REF!</definedName>
    <definedName name="外部資料_671" localSheetId="3">評比系統!$T$1:$AF$3</definedName>
    <definedName name="外部資料_671" localSheetId="4">篩股系統!$C$2</definedName>
    <definedName name="外部資料_672" localSheetId="14">PKA!#REF!</definedName>
    <definedName name="外部資料_672" localSheetId="15">PKB!#REF!</definedName>
    <definedName name="外部資料_672" localSheetId="3">評比系統!$T$1:$AF$3</definedName>
    <definedName name="外部資料_673" localSheetId="14">PKA!#REF!</definedName>
    <definedName name="外部資料_673" localSheetId="15">PKB!#REF!</definedName>
    <definedName name="外部資料_673" localSheetId="3">評比系統!$T$1:$AF$3</definedName>
    <definedName name="外部資料_674" localSheetId="14">PKA!#REF!</definedName>
    <definedName name="外部資料_674" localSheetId="15">PKB!#REF!</definedName>
    <definedName name="外部資料_674" localSheetId="3">評比系統!$T$1:$AF$3</definedName>
    <definedName name="外部資料_675" localSheetId="14">PKA!#REF!</definedName>
    <definedName name="外部資料_675" localSheetId="15">PKB!#REF!</definedName>
    <definedName name="外部資料_675" localSheetId="3">評比系統!$T$1:$AF$3</definedName>
    <definedName name="外部資料_676" localSheetId="14">PKA!#REF!</definedName>
    <definedName name="外部資料_676" localSheetId="15">PKB!#REF!</definedName>
    <definedName name="外部資料_676" localSheetId="3">評比系統!$T$1:$AF$3</definedName>
    <definedName name="外部資料_677" localSheetId="14">PKA!#REF!</definedName>
    <definedName name="外部資料_677" localSheetId="15">PKB!#REF!</definedName>
    <definedName name="外部資料_677" localSheetId="3">評比系統!$T$1:$AF$3</definedName>
    <definedName name="外部資料_678" localSheetId="14">PKA!#REF!</definedName>
    <definedName name="外部資料_678" localSheetId="15">PKB!#REF!</definedName>
    <definedName name="外部資料_678" localSheetId="3">評比系統!$T$1:$AF$3</definedName>
    <definedName name="外部資料_679" localSheetId="14">PKA!#REF!</definedName>
    <definedName name="外部資料_679" localSheetId="15">PKB!#REF!</definedName>
    <definedName name="外部資料_679" localSheetId="3">評比系統!$T$1:$AF$3</definedName>
    <definedName name="外部資料_68" localSheetId="14">PKA!#REF!</definedName>
    <definedName name="外部資料_68" localSheetId="15">PKB!#REF!</definedName>
    <definedName name="外部資料_68" localSheetId="16">PKC!#REF!</definedName>
    <definedName name="外部資料_68" localSheetId="7">PSR!#REF!</definedName>
    <definedName name="外部資料_68" localSheetId="3">評比系統!$T$1:$T$3</definedName>
    <definedName name="外部資料_68" localSheetId="17">福邦!#REF!</definedName>
    <definedName name="外部資料_68" localSheetId="6">營收搶先報!#REF!</definedName>
    <definedName name="外部資料_680" localSheetId="14">PKA!#REF!</definedName>
    <definedName name="外部資料_680" localSheetId="15">PKB!#REF!</definedName>
    <definedName name="外部資料_680" localSheetId="3">評比系統!$T$1:$AF$3</definedName>
    <definedName name="外部資料_681" localSheetId="14">PKA!#REF!</definedName>
    <definedName name="外部資料_681" localSheetId="15">PKB!#REF!</definedName>
    <definedName name="外部資料_681" localSheetId="3">評比系統!$T$1:$AF$3</definedName>
    <definedName name="外部資料_682" localSheetId="14">PKA!#REF!</definedName>
    <definedName name="外部資料_682" localSheetId="15">PKB!#REF!</definedName>
    <definedName name="外部資料_682" localSheetId="3">評比系統!$T$1:$AF$3</definedName>
    <definedName name="外部資料_683" localSheetId="14">PKA!#REF!</definedName>
    <definedName name="外部資料_683" localSheetId="15">PKB!#REF!</definedName>
    <definedName name="外部資料_683" localSheetId="3">評比系統!$T$1:$AF$3</definedName>
    <definedName name="外部資料_684" localSheetId="14">PKA!#REF!</definedName>
    <definedName name="外部資料_684" localSheetId="15">PKB!#REF!</definedName>
    <definedName name="外部資料_684" localSheetId="3">評比系統!$T$1:$AF$3</definedName>
    <definedName name="外部資料_685" localSheetId="14">PKA!#REF!</definedName>
    <definedName name="外部資料_685" localSheetId="15">PKB!#REF!</definedName>
    <definedName name="外部資料_685" localSheetId="3">評比系統!$T$1:$AF$3</definedName>
    <definedName name="外部資料_686" localSheetId="14">PKA!#REF!</definedName>
    <definedName name="外部資料_686" localSheetId="15">PKB!#REF!</definedName>
    <definedName name="外部資料_686" localSheetId="3">評比系統!$T$1:$AF$3</definedName>
    <definedName name="外部資料_687" localSheetId="14">PKA!#REF!</definedName>
    <definedName name="外部資料_687" localSheetId="15">PKB!#REF!</definedName>
    <definedName name="外部資料_687" localSheetId="3">評比系統!$T$1:$AF$3</definedName>
    <definedName name="外部資料_688" localSheetId="14">PKA!#REF!</definedName>
    <definedName name="外部資料_688" localSheetId="15">PKB!#REF!</definedName>
    <definedName name="外部資料_688" localSheetId="3">評比系統!$T$1:$AF$3</definedName>
    <definedName name="外部資料_689" localSheetId="14">PKA!#REF!</definedName>
    <definedName name="外部資料_689" localSheetId="15">PKB!#REF!</definedName>
    <definedName name="外部資料_689" localSheetId="3">評比系統!$T$1:$AF$3</definedName>
    <definedName name="外部資料_69" localSheetId="14">PKA!#REF!</definedName>
    <definedName name="外部資料_69" localSheetId="15">PKB!#REF!</definedName>
    <definedName name="外部資料_69" localSheetId="16">PKC!#REF!</definedName>
    <definedName name="外部資料_69" localSheetId="7">PSR!#REF!</definedName>
    <definedName name="外部資料_69" localSheetId="3">評比系統!$T$1:$T$3</definedName>
    <definedName name="外部資料_69" localSheetId="17">福邦!#REF!</definedName>
    <definedName name="外部資料_69" localSheetId="6">營收搶先報!#REF!</definedName>
    <definedName name="外部資料_690" localSheetId="14">PKA!#REF!</definedName>
    <definedName name="外部資料_690" localSheetId="15">PKB!#REF!</definedName>
    <definedName name="外部資料_690" localSheetId="3">評比系統!$T$1:$AF$3</definedName>
    <definedName name="外部資料_691" localSheetId="14">PKA!#REF!</definedName>
    <definedName name="外部資料_691" localSheetId="15">PKB!#REF!</definedName>
    <definedName name="外部資料_691" localSheetId="3">評比系統!$T$1:$AF$3</definedName>
    <definedName name="外部資料_692" localSheetId="14">PKA!#REF!</definedName>
    <definedName name="外部資料_692" localSheetId="15">PKB!#REF!</definedName>
    <definedName name="外部資料_692" localSheetId="3">評比系統!$T$1:$AF$3</definedName>
    <definedName name="外部資料_693" localSheetId="14">PKA!#REF!</definedName>
    <definedName name="外部資料_693" localSheetId="15">PKB!#REF!</definedName>
    <definedName name="外部資料_693" localSheetId="3">評比系統!$T$1:$AF$3</definedName>
    <definedName name="外部資料_694" localSheetId="14">PKA!#REF!</definedName>
    <definedName name="外部資料_694" localSheetId="15">PKB!#REF!</definedName>
    <definedName name="外部資料_694" localSheetId="3">評比系統!$T$1:$AF$3</definedName>
    <definedName name="外部資料_695" localSheetId="14">PKA!#REF!</definedName>
    <definedName name="外部資料_695" localSheetId="15">PKB!#REF!</definedName>
    <definedName name="外部資料_695" localSheetId="3">評比系統!$T$1:$AF$3</definedName>
    <definedName name="外部資料_696" localSheetId="14">PKA!#REF!</definedName>
    <definedName name="外部資料_696" localSheetId="15">PKB!#REF!</definedName>
    <definedName name="外部資料_696" localSheetId="3">評比系統!$T$1:$AF$3</definedName>
    <definedName name="外部資料_697" localSheetId="14">PKA!#REF!</definedName>
    <definedName name="外部資料_697" localSheetId="15">PKB!#REF!</definedName>
    <definedName name="外部資料_697" localSheetId="3">評比系統!$T$1:$AF$3</definedName>
    <definedName name="外部資料_698" localSheetId="14">PKA!#REF!</definedName>
    <definedName name="外部資料_698" localSheetId="15">PKB!#REF!</definedName>
    <definedName name="外部資料_698" localSheetId="3">評比系統!$T$1:$AF$3</definedName>
    <definedName name="外部資料_699" localSheetId="14">PKA!#REF!</definedName>
    <definedName name="外部資料_699" localSheetId="15">PKB!#REF!</definedName>
    <definedName name="外部資料_699" localSheetId="3">評比系統!$T$1:$AF$3</definedName>
    <definedName name="外部資料_7" localSheetId="14">PKA!#REF!</definedName>
    <definedName name="外部資料_7" localSheetId="15">PKB!#REF!</definedName>
    <definedName name="外部資料_7" localSheetId="16">PKC!#REF!</definedName>
    <definedName name="外部資料_7" localSheetId="7">PSR!#REF!</definedName>
    <definedName name="外部資料_7" localSheetId="2">紅綠燈!#REF!</definedName>
    <definedName name="外部資料_7" localSheetId="3">評比系統!#REF!</definedName>
    <definedName name="外部資料_7" localSheetId="9">葛林公式!$M$1:$W$61</definedName>
    <definedName name="外部資料_7" localSheetId="17">福邦!#REF!</definedName>
    <definedName name="外部資料_7" localSheetId="4">篩股系統!#REF!</definedName>
    <definedName name="外部資料_7" localSheetId="6">營收搶先報!#REF!</definedName>
    <definedName name="外部資料_70" localSheetId="14">PKA!#REF!</definedName>
    <definedName name="外部資料_70" localSheetId="15">PKB!#REF!</definedName>
    <definedName name="外部資料_70" localSheetId="16">PKC!#REF!</definedName>
    <definedName name="外部資料_70" localSheetId="7">PSR!#REF!</definedName>
    <definedName name="外部資料_70" localSheetId="3">評比系統!$T$1:$T$3</definedName>
    <definedName name="外部資料_70" localSheetId="17">福邦!#REF!</definedName>
    <definedName name="外部資料_70" localSheetId="6">營收搶先報!#REF!</definedName>
    <definedName name="外部資料_700" localSheetId="14">PKA!#REF!</definedName>
    <definedName name="外部資料_700" localSheetId="15">PKB!#REF!</definedName>
    <definedName name="外部資料_700" localSheetId="3">評比系統!$T$1:$AF$3</definedName>
    <definedName name="外部資料_701" localSheetId="14">PKA!#REF!</definedName>
    <definedName name="外部資料_701" localSheetId="15">PKB!#REF!</definedName>
    <definedName name="外部資料_701" localSheetId="3">評比系統!$T$1:$AF$3</definedName>
    <definedName name="外部資料_702" localSheetId="14">PKA!#REF!</definedName>
    <definedName name="外部資料_702" localSheetId="15">PKB!#REF!</definedName>
    <definedName name="外部資料_702" localSheetId="3">評比系統!$T$1:$AF$3</definedName>
    <definedName name="外部資料_703" localSheetId="14">PKA!#REF!</definedName>
    <definedName name="外部資料_703" localSheetId="15">PKB!#REF!</definedName>
    <definedName name="外部資料_703" localSheetId="3">評比系統!$T$1:$AF$3</definedName>
    <definedName name="外部資料_704" localSheetId="14">PKA!#REF!</definedName>
    <definedName name="外部資料_704" localSheetId="15">PKB!#REF!</definedName>
    <definedName name="外部資料_704" localSheetId="3">評比系統!$T$1:$AF$3</definedName>
    <definedName name="外部資料_705" localSheetId="14">PKA!#REF!</definedName>
    <definedName name="外部資料_705" localSheetId="15">PKB!#REF!</definedName>
    <definedName name="外部資料_705" localSheetId="3">評比系統!$T$1:$AF$3</definedName>
    <definedName name="外部資料_706" localSheetId="14">PKA!#REF!</definedName>
    <definedName name="外部資料_706" localSheetId="15">PKB!#REF!</definedName>
    <definedName name="外部資料_706" localSheetId="3">評比系統!$T$1:$AF$3</definedName>
    <definedName name="外部資料_707" localSheetId="14">PKA!#REF!</definedName>
    <definedName name="外部資料_707" localSheetId="15">PKB!#REF!</definedName>
    <definedName name="外部資料_707" localSheetId="3">評比系統!$T$1:$AF$3</definedName>
    <definedName name="外部資料_708" localSheetId="14">PKA!#REF!</definedName>
    <definedName name="外部資料_708" localSheetId="15">PKB!#REF!</definedName>
    <definedName name="外部資料_708" localSheetId="3">評比系統!$T$1:$AF$3</definedName>
    <definedName name="外部資料_709" localSheetId="14">PKA!#REF!</definedName>
    <definedName name="外部資料_709" localSheetId="15">PKB!#REF!</definedName>
    <definedName name="外部資料_709" localSheetId="3">評比系統!$T$1:$AF$3</definedName>
    <definedName name="外部資料_71" localSheetId="14">PKA!#REF!</definedName>
    <definedName name="外部資料_71" localSheetId="15">PKB!#REF!</definedName>
    <definedName name="外部資料_71" localSheetId="16">PKC!#REF!</definedName>
    <definedName name="外部資料_71" localSheetId="7">PSR!#REF!</definedName>
    <definedName name="外部資料_71" localSheetId="3">評比系統!$T$1:$T$3</definedName>
    <definedName name="外部資料_71" localSheetId="17">福邦!#REF!</definedName>
    <definedName name="外部資料_71" localSheetId="6">營收搶先報!#REF!</definedName>
    <definedName name="外部資料_710" localSheetId="14">PKA!#REF!</definedName>
    <definedName name="外部資料_710" localSheetId="15">PKB!#REF!</definedName>
    <definedName name="外部資料_710" localSheetId="3">評比系統!$T$1:$AF$3</definedName>
    <definedName name="外部資料_711" localSheetId="14">PKA!#REF!</definedName>
    <definedName name="外部資料_711" localSheetId="15">PKB!#REF!</definedName>
    <definedName name="外部資料_711" localSheetId="3">評比系統!$T$1:$AF$3</definedName>
    <definedName name="外部資料_712" localSheetId="14">PKA!#REF!</definedName>
    <definedName name="外部資料_712" localSheetId="15">PKB!#REF!</definedName>
    <definedName name="外部資料_712" localSheetId="3">評比系統!$T$1:$AF$3</definedName>
    <definedName name="外部資料_713" localSheetId="14">PKA!#REF!</definedName>
    <definedName name="外部資料_713" localSheetId="15">PKB!#REF!</definedName>
    <definedName name="外部資料_713" localSheetId="3">評比系統!$T$1:$AF$3</definedName>
    <definedName name="外部資料_714" localSheetId="14">PKA!#REF!</definedName>
    <definedName name="外部資料_714" localSheetId="15">PKB!#REF!</definedName>
    <definedName name="外部資料_714" localSheetId="3">評比系統!$T$1:$AF$3</definedName>
    <definedName name="外部資料_715" localSheetId="14">PKA!#REF!</definedName>
    <definedName name="外部資料_715" localSheetId="15">PKB!#REF!</definedName>
    <definedName name="外部資料_715" localSheetId="3">評比系統!$T$1:$AF$3</definedName>
    <definedName name="外部資料_716" localSheetId="14">PKA!#REF!</definedName>
    <definedName name="外部資料_716" localSheetId="15">PKB!#REF!</definedName>
    <definedName name="外部資料_716" localSheetId="3">評比系統!$T$1:$AF$3</definedName>
    <definedName name="外部資料_717" localSheetId="14">PKA!#REF!</definedName>
    <definedName name="外部資料_717" localSheetId="15">PKB!#REF!</definedName>
    <definedName name="外部資料_717" localSheetId="3">評比系統!$T$1:$AF$3</definedName>
    <definedName name="外部資料_718" localSheetId="14">PKA!#REF!</definedName>
    <definedName name="外部資料_718" localSheetId="15">PKB!#REF!</definedName>
    <definedName name="外部資料_718" localSheetId="3">評比系統!$T$1:$AF$3</definedName>
    <definedName name="外部資料_719" localSheetId="14">PKA!#REF!</definedName>
    <definedName name="外部資料_719" localSheetId="15">PKB!#REF!</definedName>
    <definedName name="外部資料_719" localSheetId="3">評比系統!$T$1:$AF$3</definedName>
    <definedName name="外部資料_72" localSheetId="14">PKA!#REF!</definedName>
    <definedName name="外部資料_72" localSheetId="15">PKB!#REF!</definedName>
    <definedName name="外部資料_72" localSheetId="16">PKC!#REF!</definedName>
    <definedName name="外部資料_72" localSheetId="7">PSR!#REF!</definedName>
    <definedName name="外部資料_72" localSheetId="3">評比系統!$T$1:$T$3</definedName>
    <definedName name="外部資料_72" localSheetId="17">福邦!#REF!</definedName>
    <definedName name="外部資料_72" localSheetId="6">營收搶先報!#REF!</definedName>
    <definedName name="外部資料_720" localSheetId="14">PKA!#REF!</definedName>
    <definedName name="外部資料_720" localSheetId="15">PKB!#REF!</definedName>
    <definedName name="外部資料_720" localSheetId="3">評比系統!$T$1:$AF$3</definedName>
    <definedName name="外部資料_721" localSheetId="14">PKA!#REF!</definedName>
    <definedName name="外部資料_721" localSheetId="15">PKB!#REF!</definedName>
    <definedName name="外部資料_721" localSheetId="3">評比系統!$T$1:$AF$3</definedName>
    <definedName name="外部資料_722" localSheetId="14">PKA!#REF!</definedName>
    <definedName name="外部資料_722" localSheetId="15">PKB!#REF!</definedName>
    <definedName name="外部資料_722" localSheetId="3">評比系統!$T$1:$AF$3</definedName>
    <definedName name="外部資料_723" localSheetId="14">PKA!#REF!</definedName>
    <definedName name="外部資料_723" localSheetId="15">PKB!#REF!</definedName>
    <definedName name="外部資料_723" localSheetId="3">評比系統!$T$1:$AF$3</definedName>
    <definedName name="外部資料_724" localSheetId="14">PKA!#REF!</definedName>
    <definedName name="外部資料_724" localSheetId="15">PKB!#REF!</definedName>
    <definedName name="外部資料_724" localSheetId="3">評比系統!$T$1:$AF$3</definedName>
    <definedName name="外部資料_725" localSheetId="14">PKA!#REF!</definedName>
    <definedName name="外部資料_725" localSheetId="15">PKB!#REF!</definedName>
    <definedName name="外部資料_725" localSheetId="3">評比系統!$T$1:$AF$3</definedName>
    <definedName name="外部資料_726" localSheetId="14">PKA!#REF!</definedName>
    <definedName name="外部資料_726" localSheetId="15">PKB!#REF!</definedName>
    <definedName name="外部資料_726" localSheetId="3">評比系統!$T$1:$AF$3</definedName>
    <definedName name="外部資料_727" localSheetId="14">PKA!#REF!</definedName>
    <definedName name="外部資料_727" localSheetId="15">PKB!#REF!</definedName>
    <definedName name="外部資料_727" localSheetId="3">評比系統!$T$1:$AF$3</definedName>
    <definedName name="外部資料_728" localSheetId="14">PKA!#REF!</definedName>
    <definedName name="外部資料_728" localSheetId="15">PKB!#REF!</definedName>
    <definedName name="外部資料_728" localSheetId="3">評比系統!$T$1:$AF$3</definedName>
    <definedName name="外部資料_729" localSheetId="14">PKA!#REF!</definedName>
    <definedName name="外部資料_729" localSheetId="15">PKB!#REF!</definedName>
    <definedName name="外部資料_729" localSheetId="3">評比系統!$T$1:$AF$3</definedName>
    <definedName name="外部資料_73" localSheetId="14">PKA!#REF!</definedName>
    <definedName name="外部資料_73" localSheetId="15">PKB!#REF!</definedName>
    <definedName name="外部資料_73" localSheetId="16">PKC!#REF!</definedName>
    <definedName name="外部資料_73" localSheetId="7">PSR!#REF!</definedName>
    <definedName name="外部資料_73" localSheetId="3">評比系統!$T$1:$T$3</definedName>
    <definedName name="外部資料_73" localSheetId="17">福邦!#REF!</definedName>
    <definedName name="外部資料_73" localSheetId="6">營收搶先報!#REF!</definedName>
    <definedName name="外部資料_730" localSheetId="14">PKA!#REF!</definedName>
    <definedName name="外部資料_730" localSheetId="15">PKB!#REF!</definedName>
    <definedName name="外部資料_730" localSheetId="3">評比系統!$T$1:$AF$3</definedName>
    <definedName name="外部資料_731" localSheetId="14">PKA!#REF!</definedName>
    <definedName name="外部資料_731" localSheetId="15">PKB!#REF!</definedName>
    <definedName name="外部資料_731" localSheetId="3">評比系統!$T$1:$AF$3</definedName>
    <definedName name="外部資料_732" localSheetId="14">PKA!#REF!</definedName>
    <definedName name="外部資料_732" localSheetId="15">PKB!#REF!</definedName>
    <definedName name="外部資料_732" localSheetId="3">評比系統!$T$1:$AF$3</definedName>
    <definedName name="外部資料_733" localSheetId="14">PKA!#REF!</definedName>
    <definedName name="外部資料_733" localSheetId="15">PKB!#REF!</definedName>
    <definedName name="外部資料_733" localSheetId="3">評比系統!$T$1:$AF$3</definedName>
    <definedName name="外部資料_734" localSheetId="14">PKA!#REF!</definedName>
    <definedName name="外部資料_734" localSheetId="15">PKB!#REF!</definedName>
    <definedName name="外部資料_734" localSheetId="3">評比系統!$T$1:$AF$3</definedName>
    <definedName name="外部資料_735" localSheetId="14">PKA!#REF!</definedName>
    <definedName name="外部資料_735" localSheetId="15">PKB!#REF!</definedName>
    <definedName name="外部資料_735" localSheetId="3">評比系統!$T$1:$AF$3</definedName>
    <definedName name="外部資料_736" localSheetId="14">PKA!#REF!</definedName>
    <definedName name="外部資料_736" localSheetId="15">PKB!#REF!</definedName>
    <definedName name="外部資料_736" localSheetId="3">評比系統!$T$1:$AF$3</definedName>
    <definedName name="外部資料_737" localSheetId="14">PKA!#REF!</definedName>
    <definedName name="外部資料_737" localSheetId="15">PKB!#REF!</definedName>
    <definedName name="外部資料_737" localSheetId="3">評比系統!$T$1:$AF$3</definedName>
    <definedName name="外部資料_738" localSheetId="14">PKA!#REF!</definedName>
    <definedName name="外部資料_738" localSheetId="15">PKB!#REF!</definedName>
    <definedName name="外部資料_738" localSheetId="3">評比系統!$T$1:$AF$3</definedName>
    <definedName name="外部資料_739" localSheetId="14">PKA!#REF!</definedName>
    <definedName name="外部資料_739" localSheetId="15">PKB!#REF!</definedName>
    <definedName name="外部資料_739" localSheetId="3">評比系統!$T$1:$AF$3</definedName>
    <definedName name="外部資料_74" localSheetId="14">PKA!#REF!</definedName>
    <definedName name="外部資料_74" localSheetId="15">PKB!#REF!</definedName>
    <definedName name="外部資料_74" localSheetId="16">PKC!#REF!</definedName>
    <definedName name="外部資料_74" localSheetId="7">PSR!#REF!</definedName>
    <definedName name="外部資料_74" localSheetId="3">評比系統!$T$1:$T$3</definedName>
    <definedName name="外部資料_74" localSheetId="17">福邦!#REF!</definedName>
    <definedName name="外部資料_74" localSheetId="6">營收搶先報!#REF!</definedName>
    <definedName name="外部資料_740" localSheetId="14">PKA!#REF!</definedName>
    <definedName name="外部資料_740" localSheetId="15">PKB!#REF!</definedName>
    <definedName name="外部資料_740" localSheetId="3">評比系統!$T$1:$AF$3</definedName>
    <definedName name="外部資料_741" localSheetId="14">PKA!#REF!</definedName>
    <definedName name="外部資料_741" localSheetId="15">PKB!#REF!</definedName>
    <definedName name="外部資料_741" localSheetId="3">評比系統!$T$1:$AF$3</definedName>
    <definedName name="外部資料_742" localSheetId="14">PKA!#REF!</definedName>
    <definedName name="外部資料_742" localSheetId="15">PKB!#REF!</definedName>
    <definedName name="外部資料_742" localSheetId="3">評比系統!$T$1:$AF$3</definedName>
    <definedName name="外部資料_743" localSheetId="14">PKA!#REF!</definedName>
    <definedName name="外部資料_743" localSheetId="15">PKB!#REF!</definedName>
    <definedName name="外部資料_743" localSheetId="3">評比系統!$T$1:$AF$3</definedName>
    <definedName name="外部資料_744" localSheetId="14">PKA!#REF!</definedName>
    <definedName name="外部資料_744" localSheetId="15">PKB!#REF!</definedName>
    <definedName name="外部資料_744" localSheetId="3">評比系統!$T$1:$AF$3</definedName>
    <definedName name="外部資料_745" localSheetId="14">PKA!#REF!</definedName>
    <definedName name="外部資料_745" localSheetId="15">PKB!#REF!</definedName>
    <definedName name="外部資料_745" localSheetId="3">評比系統!$T$1:$AF$3</definedName>
    <definedName name="外部資料_746" localSheetId="14">PKA!#REF!</definedName>
    <definedName name="外部資料_746" localSheetId="15">PKB!#REF!</definedName>
    <definedName name="外部資料_746" localSheetId="3">評比系統!$T$1:$AF$3</definedName>
    <definedName name="外部資料_747" localSheetId="14">PKA!#REF!</definedName>
    <definedName name="外部資料_747" localSheetId="15">PKB!#REF!</definedName>
    <definedName name="外部資料_747" localSheetId="3">評比系統!$T$1:$AF$3</definedName>
    <definedName name="外部資料_748" localSheetId="14">PKA!$A$1:$K$65</definedName>
    <definedName name="外部資料_748" localSheetId="15">PKB!#REF!</definedName>
    <definedName name="外部資料_748" localSheetId="3">評比系統!$T$1:$AF$3</definedName>
    <definedName name="外部資料_749" localSheetId="14">PKA!$A$100:$K$160</definedName>
    <definedName name="外部資料_749" localSheetId="15">PKB!#REF!</definedName>
    <definedName name="外部資料_749" localSheetId="3">評比系統!$T$1:$AF$3</definedName>
    <definedName name="外部資料_75" localSheetId="14">PKA!#REF!</definedName>
    <definedName name="外部資料_75" localSheetId="15">PKB!#REF!</definedName>
    <definedName name="外部資料_75" localSheetId="16">PKC!#REF!</definedName>
    <definedName name="外部資料_75" localSheetId="7">PSR!#REF!</definedName>
    <definedName name="外部資料_75" localSheetId="3">評比系統!$T$1:$T$3</definedName>
    <definedName name="外部資料_75" localSheetId="17">福邦!#REF!</definedName>
    <definedName name="外部資料_75" localSheetId="6">營收搶先報!#REF!</definedName>
    <definedName name="外部資料_750" localSheetId="14">PKA!$A$200:$K$247</definedName>
    <definedName name="外部資料_750" localSheetId="15">PKB!#REF!</definedName>
    <definedName name="外部資料_750" localSheetId="3">評比系統!$T$1:$AF$3</definedName>
    <definedName name="外部資料_751" localSheetId="15">PKB!#REF!</definedName>
    <definedName name="外部資料_751" localSheetId="3">評比系統!$T$1:$AF$3</definedName>
    <definedName name="外部資料_752" localSheetId="15">PKB!$A$1:$K$65</definedName>
    <definedName name="外部資料_752" localSheetId="3">評比系統!$T$1:$AF$3</definedName>
    <definedName name="外部資料_753" localSheetId="15">PKB!$A$100:$K$160</definedName>
    <definedName name="外部資料_753" localSheetId="3">評比系統!$T$1:$AF$3</definedName>
    <definedName name="外部資料_754" localSheetId="15">PKB!$A$200:$K$247</definedName>
    <definedName name="外部資料_754" localSheetId="3">評比系統!$T$1:$AF$3</definedName>
    <definedName name="外部資料_755" localSheetId="3">評比系統!$T$1:$AF$3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3">評比系統!$T$1:$AF$3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3">評比系統!$T$1:$AF$3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3">評比系統!$T$1:$AF$3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3">評比系統!$T$1:$AF$3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4">PKA!#REF!</definedName>
    <definedName name="外部資料_76" localSheetId="15">PKB!#REF!</definedName>
    <definedName name="外部資料_76" localSheetId="16">PKC!#REF!</definedName>
    <definedName name="外部資料_76" localSheetId="7">PSR!#REF!</definedName>
    <definedName name="外部資料_76" localSheetId="3">評比系統!$T$1:$T$3</definedName>
    <definedName name="外部資料_76" localSheetId="17">福邦!#REF!</definedName>
    <definedName name="外部資料_76" localSheetId="4">篩股系統!#REF!</definedName>
    <definedName name="外部資料_76" localSheetId="6">營收搶先報!#REF!</definedName>
    <definedName name="外部資料_760" localSheetId="3">評比系統!$T$1:$AF$3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3">評比系統!$T$1:$AF$3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3">評比系統!$T$1:$AF$3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3">評比系統!$T$1:$AF$3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3">評比系統!$T$1:$AF$3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3">評比系統!$T$1:$AF$3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3">評比系統!$T$1:$AF$3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3">評比系統!$T$1:$AF$3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3">評比系統!$T$1:$AF$3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3">評比系統!$T$1:$AF$3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4">PKA!#REF!</definedName>
    <definedName name="外部資料_77" localSheetId="15">PKB!#REF!</definedName>
    <definedName name="外部資料_77" localSheetId="16">PKC!#REF!</definedName>
    <definedName name="外部資料_77" localSheetId="7">PSR!#REF!</definedName>
    <definedName name="外部資料_77" localSheetId="3">評比系統!$T$1:$T$3</definedName>
    <definedName name="外部資料_77" localSheetId="17">福邦!#REF!</definedName>
    <definedName name="外部資料_77" localSheetId="6">營收搶先報!#REF!</definedName>
    <definedName name="外部資料_770" localSheetId="3">評比系統!$T$1:$AF$3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3">評比系統!$T$1:$AF$3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3">評比系統!$T$1:$AF$3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3">評比系統!$T$1:$AF$3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3">評比系統!$T$1:$AF$3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3">評比系統!$T$1:$AF$3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3">評比系統!$T$1:$AF$3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3">評比系統!$T$1:$AF$3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3">評比系統!$T$1:$AF$3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3">評比系統!$T$1:$AF$3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4">PKA!#REF!</definedName>
    <definedName name="外部資料_78" localSheetId="15">PKB!#REF!</definedName>
    <definedName name="外部資料_78" localSheetId="16">PKC!#REF!</definedName>
    <definedName name="外部資料_78" localSheetId="7">PSR!#REF!</definedName>
    <definedName name="外部資料_78" localSheetId="3">評比系統!$T$1:$T$3</definedName>
    <definedName name="外部資料_78" localSheetId="17">福邦!#REF!</definedName>
    <definedName name="外部資料_78" localSheetId="6">營收搶先報!#REF!</definedName>
    <definedName name="外部資料_780" localSheetId="3">評比系統!$T$1:$AF$3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3">評比系統!$T$1:$AF$3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3">評比系統!$T$1:$AF$3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3">評比系統!$T$1:$AF$3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3">評比系統!$T$1:$AF$3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3">評比系統!$T$1:$AF$3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3">評比系統!$T$1:$AF$3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3">評比系統!$T$1:$AF$3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3">評比系統!$T$1:$AF$3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3">評比系統!$T$1:$AF$3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4">PKA!#REF!</definedName>
    <definedName name="外部資料_79" localSheetId="15">PKB!#REF!</definedName>
    <definedName name="外部資料_79" localSheetId="16">PKC!#REF!</definedName>
    <definedName name="外部資料_79" localSheetId="7">PSR!#REF!</definedName>
    <definedName name="外部資料_79" localSheetId="3">評比系統!$T$1:$T$3</definedName>
    <definedName name="外部資料_79" localSheetId="17">福邦!#REF!</definedName>
    <definedName name="外部資料_79" localSheetId="6">營收搶先報!#REF!</definedName>
    <definedName name="外部資料_790" localSheetId="3">評比系統!$T$1:$AF$3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3">評比系統!$T$1:$AF$3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3">評比系統!$T$1:$AF$3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3">評比系統!$T$1:$AF$3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3">評比系統!$T$1:$AF$3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3">評比系統!$T$1:$AF$3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3">評比系統!$T$1:$AF$3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3">評比系統!$T$1:$AF$3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3">評比系統!$T$1:$AF$3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3">評比系統!$T$1:$AF$3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4">PKA!#REF!</definedName>
    <definedName name="外部資料_8" localSheetId="15">PKB!#REF!</definedName>
    <definedName name="外部資料_8" localSheetId="16">PKC!#REF!</definedName>
    <definedName name="外部資料_8" localSheetId="7">PSR!#REF!</definedName>
    <definedName name="外部資料_8" localSheetId="2">紅綠燈!#REF!</definedName>
    <definedName name="外部資料_8" localSheetId="3">評比系統!#REF!</definedName>
    <definedName name="外部資料_8" localSheetId="9">葛林公式!$M$1:$W$61</definedName>
    <definedName name="外部資料_8" localSheetId="17">福邦!#REF!</definedName>
    <definedName name="外部資料_8" localSheetId="4">篩股系統!#REF!</definedName>
    <definedName name="外部資料_8" localSheetId="6">營收搶先報!#REF!</definedName>
    <definedName name="外部資料_80" localSheetId="14">PKA!#REF!</definedName>
    <definedName name="外部資料_80" localSheetId="15">PKB!#REF!</definedName>
    <definedName name="外部資料_80" localSheetId="16">PKC!#REF!</definedName>
    <definedName name="外部資料_80" localSheetId="7">PSR!#REF!</definedName>
    <definedName name="外部資料_80" localSheetId="3">評比系統!$T$1:$T$3</definedName>
    <definedName name="外部資料_80" localSheetId="17">福邦!#REF!</definedName>
    <definedName name="外部資料_80" localSheetId="6">營收搶先報!$A$2:$K$114</definedName>
    <definedName name="外部資料_800" localSheetId="3">評比系統!$T$1:$AF$3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3">評比系統!$T$1:$AF$3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3">評比系統!$T$1:$AF$3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3">評比系統!$T$1:$AF$3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3">評比系統!$T$1:$AF$3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3">評比系統!$T$1:$AF$3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3">評比系統!$T$1:$AF$3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3">評比系統!$T$1:$AF$3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3">評比系統!$T$1:$AF$3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3">評比系統!$T$1:$AF$3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4">PKA!#REF!</definedName>
    <definedName name="外部資料_81" localSheetId="15">PKB!#REF!</definedName>
    <definedName name="外部資料_81" localSheetId="16">PKC!#REF!</definedName>
    <definedName name="外部資料_81" localSheetId="7">PSR!#REF!</definedName>
    <definedName name="外部資料_81" localSheetId="3">評比系統!$T$1:$T$3</definedName>
    <definedName name="外部資料_81" localSheetId="17">福邦!#REF!</definedName>
    <definedName name="外部資料_81" localSheetId="6">營收搶先報!$A$2:$K$64</definedName>
    <definedName name="外部資料_810" localSheetId="3">評比系統!$T$1:$AF$3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3">評比系統!$T$1:$AF$3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3">評比系統!$T$1:$AF$3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3">評比系統!$T$1:$AF$3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3">評比系統!$T$1:$AF$3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3">評比系統!$T$1:$AF$3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3">評比系統!$T$1:$AF$3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3">評比系統!$T$1:$AF$3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3">評比系統!$T$1:$AF$3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3">評比系統!$T$1:$AF$3</definedName>
    <definedName name="外部資料_82" localSheetId="14">PKA!#REF!</definedName>
    <definedName name="外部資料_82" localSheetId="15">PKB!#REF!</definedName>
    <definedName name="外部資料_82" localSheetId="16">PKC!#REF!</definedName>
    <definedName name="外部資料_82" localSheetId="7">PSR!#REF!</definedName>
    <definedName name="外部資料_82" localSheetId="3">評比系統!$T$1:$T$3</definedName>
    <definedName name="外部資料_82" localSheetId="17">福邦!#REF!</definedName>
    <definedName name="外部資料_82" localSheetId="6">營收搶先報!$A$2:$K$336</definedName>
    <definedName name="外部資料_820" localSheetId="3">評比系統!$T$1:$AF$3</definedName>
    <definedName name="外部資料_821" localSheetId="3">評比系統!$T$1:$AF$3</definedName>
    <definedName name="外部資料_822" localSheetId="3">評比系統!$T$1:$AF$3</definedName>
    <definedName name="外部資料_823" localSheetId="3">評比系統!$T$1:$AF$3</definedName>
    <definedName name="外部資料_824" localSheetId="3">評比系統!$T$1:$AF$3</definedName>
    <definedName name="外部資料_825" localSheetId="3">評比系統!$T$1:$AF$3</definedName>
    <definedName name="外部資料_826" localSheetId="3">評比系統!$T$1:$AF$3</definedName>
    <definedName name="外部資料_827" localSheetId="3">評比系統!$T$1:$AF$3</definedName>
    <definedName name="外部資料_828" localSheetId="3">評比系統!$T$1:$AF$3</definedName>
    <definedName name="外部資料_829" localSheetId="3">評比系統!$T$1:$AF$3</definedName>
    <definedName name="外部資料_83" localSheetId="14">PKA!#REF!</definedName>
    <definedName name="外部資料_83" localSheetId="15">PKB!#REF!</definedName>
    <definedName name="外部資料_83" localSheetId="16">PKC!#REF!</definedName>
    <definedName name="外部資料_83" localSheetId="7">PSR!#REF!</definedName>
    <definedName name="外部資料_83" localSheetId="3">評比系統!$T$1:$T$3</definedName>
    <definedName name="外部資料_83" localSheetId="17">福邦!#REF!</definedName>
    <definedName name="外部資料_83" localSheetId="4">篩股系統!#REF!</definedName>
    <definedName name="外部資料_83" localSheetId="6">營收搶先報!$A$2:$K$284</definedName>
    <definedName name="外部資料_830" localSheetId="3">評比系統!$T$1:$AB$3</definedName>
    <definedName name="外部資料_831" localSheetId="3">評比系統!$T$1:$AB$3</definedName>
    <definedName name="外部資料_832" localSheetId="3">評比系統!$T$1:$AB$3</definedName>
    <definedName name="外部資料_833" localSheetId="3">評比系統!$T$1:$AB$3</definedName>
    <definedName name="外部資料_834" localSheetId="3">評比系統!$T$1:$AB$3</definedName>
    <definedName name="外部資料_835" localSheetId="3">評比系統!$T$1:$AB$3</definedName>
    <definedName name="外部資料_836" localSheetId="3">評比系統!$T$1:$AB$3</definedName>
    <definedName name="外部資料_837" localSheetId="3">評比系統!$T$1:$AB$3</definedName>
    <definedName name="外部資料_838" localSheetId="3">評比系統!$T$1:$AB$3</definedName>
    <definedName name="外部資料_839" localSheetId="3">評比系統!$T$1:$AB$3</definedName>
    <definedName name="外部資料_84" localSheetId="14">PKA!#REF!</definedName>
    <definedName name="外部資料_84" localSheetId="15">PKB!#REF!</definedName>
    <definedName name="外部資料_84" localSheetId="16">PKC!#REF!</definedName>
    <definedName name="外部資料_84" localSheetId="7">PSR!#REF!</definedName>
    <definedName name="外部資料_84" localSheetId="3">評比系統!$T$1:$T$3</definedName>
    <definedName name="外部資料_84" localSheetId="17">福邦!#REF!</definedName>
    <definedName name="外部資料_84" localSheetId="6">營收搶先報!$A$2:$K$556</definedName>
    <definedName name="外部資料_840" localSheetId="3">評比系統!$T$1:$AB$3</definedName>
    <definedName name="外部資料_841" localSheetId="3">評比系統!$T$1:$AB$3</definedName>
    <definedName name="外部資料_842" localSheetId="3">評比系統!$T$1:$AB$3</definedName>
    <definedName name="外部資料_843" localSheetId="3">評比系統!$T$1:$AB$3</definedName>
    <definedName name="外部資料_844" localSheetId="3">評比系統!$T$1:$AB$3</definedName>
    <definedName name="外部資料_845" localSheetId="3">評比系統!$T$1:$AB$3</definedName>
    <definedName name="外部資料_846" localSheetId="3">評比系統!$T$1:$AB$3</definedName>
    <definedName name="外部資料_847" localSheetId="3">評比系統!$T$1:$AB$3</definedName>
    <definedName name="外部資料_848" localSheetId="3">評比系統!$T$1:$AB$3</definedName>
    <definedName name="外部資料_849" localSheetId="3">評比系統!$T$1:$AB$3</definedName>
    <definedName name="外部資料_85" localSheetId="14">PKA!#REF!</definedName>
    <definedName name="外部資料_85" localSheetId="15">PKB!#REF!</definedName>
    <definedName name="外部資料_85" localSheetId="16">PKC!#REF!</definedName>
    <definedName name="外部資料_85" localSheetId="7">PSR!#REF!</definedName>
    <definedName name="外部資料_85" localSheetId="3">評比系統!$T$1:$T$3</definedName>
    <definedName name="外部資料_85" localSheetId="17">福邦!#REF!</definedName>
    <definedName name="外部資料_85" localSheetId="6">營收搶先報!$A$2:$K$504</definedName>
    <definedName name="外部資料_850" localSheetId="3">評比系統!$T$1:$AB$3</definedName>
    <definedName name="外部資料_851" localSheetId="3">評比系統!$T$1:$AB$3</definedName>
    <definedName name="外部資料_852" localSheetId="3">評比系統!$T$1:$AB$3</definedName>
    <definedName name="外部資料_853" localSheetId="3">評比系統!$T$1:$AB$3</definedName>
    <definedName name="外部資料_854" localSheetId="3">評比系統!$T$1:$AB$3</definedName>
    <definedName name="外部資料_855" localSheetId="3">評比系統!$T$1:$AB$3</definedName>
    <definedName name="外部資料_856" localSheetId="3">評比系統!$T$1:$AB$3</definedName>
    <definedName name="外部資料_857" localSheetId="3">評比系統!$T$1:$AB$3</definedName>
    <definedName name="外部資料_858" localSheetId="3">評比系統!$T$1:$AB$3</definedName>
    <definedName name="外部資料_859" localSheetId="3">評比系統!$T$1:$AB$3</definedName>
    <definedName name="外部資料_86" localSheetId="14">PKA!#REF!</definedName>
    <definedName name="外部資料_86" localSheetId="15">PKB!#REF!</definedName>
    <definedName name="外部資料_86" localSheetId="16">PKC!#REF!</definedName>
    <definedName name="外部資料_86" localSheetId="7">PSR!#REF!</definedName>
    <definedName name="外部資料_86" localSheetId="3">評比系統!$T$1:$T$3</definedName>
    <definedName name="外部資料_86" localSheetId="17">福邦!#REF!</definedName>
    <definedName name="外部資料_86" localSheetId="6">營收搶先報!$A$2:$K$778</definedName>
    <definedName name="外部資料_860" localSheetId="3">評比系統!$T$1:$AB$3</definedName>
    <definedName name="外部資料_861" localSheetId="3">評比系統!$T$1:$AB$3</definedName>
    <definedName name="外部資料_862" localSheetId="3">評比系統!$T$1:$AB$3</definedName>
    <definedName name="外部資料_863" localSheetId="3">評比系統!$T$1:$AB$3</definedName>
    <definedName name="外部資料_864" localSheetId="3">評比系統!$T$1:$AB$3</definedName>
    <definedName name="外部資料_865" localSheetId="3">評比系統!$T$1:$AB$3</definedName>
    <definedName name="外部資料_866" localSheetId="3">評比系統!$T$1:$AB$3</definedName>
    <definedName name="外部資料_867" localSheetId="3">評比系統!$T$1:$AB$3</definedName>
    <definedName name="外部資料_868" localSheetId="3">評比系統!$T$1:$AB$3</definedName>
    <definedName name="外部資料_869" localSheetId="3">評比系統!$T$1:$AB$3</definedName>
    <definedName name="外部資料_87" localSheetId="14">PKA!#REF!</definedName>
    <definedName name="外部資料_87" localSheetId="15">PKB!#REF!</definedName>
    <definedName name="外部資料_87" localSheetId="16">PKC!#REF!</definedName>
    <definedName name="外部資料_87" localSheetId="7">PSR!#REF!</definedName>
    <definedName name="外部資料_87" localSheetId="3">評比系統!$T$1:$T$3</definedName>
    <definedName name="外部資料_87" localSheetId="17">福邦!#REF!</definedName>
    <definedName name="外部資料_87" localSheetId="6">營收搶先報!$A$2:$K$730</definedName>
    <definedName name="外部資料_870" localSheetId="3">評比系統!$T$1:$AB$3</definedName>
    <definedName name="外部資料_871" localSheetId="3">評比系統!$T$1:$AB$3</definedName>
    <definedName name="外部資料_872" localSheetId="3">評比系統!$T$1:$AB$3</definedName>
    <definedName name="外部資料_873" localSheetId="3">評比系統!$T$1:$AB$3</definedName>
    <definedName name="外部資料_874" localSheetId="3">評比系統!$T$1:$AB$3</definedName>
    <definedName name="外部資料_875" localSheetId="3">評比系統!$T$1:$AB$3</definedName>
    <definedName name="外部資料_876" localSheetId="3">評比系統!$T$1:$AB$3</definedName>
    <definedName name="外部資料_877" localSheetId="3">評比系統!$T$1:$AB$3</definedName>
    <definedName name="外部資料_878" localSheetId="3">評比系統!$T$1:$AB$3</definedName>
    <definedName name="外部資料_879" localSheetId="3">評比系統!$T$1:$AB$3</definedName>
    <definedName name="外部資料_88" localSheetId="14">PKA!#REF!</definedName>
    <definedName name="外部資料_88" localSheetId="15">PKB!#REF!</definedName>
    <definedName name="外部資料_88" localSheetId="16">PKC!#REF!</definedName>
    <definedName name="外部資料_88" localSheetId="7">PSR!#REF!</definedName>
    <definedName name="外部資料_88" localSheetId="3">評比系統!$T$1:$T$3</definedName>
    <definedName name="外部資料_88" localSheetId="17">福邦!#REF!</definedName>
    <definedName name="外部資料_880" localSheetId="3">評比系統!$T$1:$AB$3</definedName>
    <definedName name="外部資料_881" localSheetId="3">評比系統!$T$1:$AB$3</definedName>
    <definedName name="外部資料_882" localSheetId="2">紅綠燈!#REF!</definedName>
    <definedName name="外部資料_883" localSheetId="3">評比系統!$T$1:$AJ$3</definedName>
    <definedName name="外部資料_884" localSheetId="3">評比系統!$T$1:$AJ$3</definedName>
    <definedName name="外部資料_885" localSheetId="3">評比系統!$T$1:$AJ$3</definedName>
    <definedName name="外部資料_886" localSheetId="3">評比系統!$T$1:$AJ$3</definedName>
    <definedName name="外部資料_887" localSheetId="3">評比系統!$T$1:$AJ$3</definedName>
    <definedName name="外部資料_888" localSheetId="3">評比系統!$T$1:$AJ$3</definedName>
    <definedName name="外部資料_889" localSheetId="3">評比系統!$T$1:$AJ$3</definedName>
    <definedName name="外部資料_89" localSheetId="14">PKA!#REF!</definedName>
    <definedName name="外部資料_89" localSheetId="15">PKB!#REF!</definedName>
    <definedName name="外部資料_89" localSheetId="16">PKC!#REF!</definedName>
    <definedName name="外部資料_89" localSheetId="7">PSR!#REF!</definedName>
    <definedName name="外部資料_89" localSheetId="3">評比系統!$T$1:$T$3</definedName>
    <definedName name="外部資料_89" localSheetId="17">福邦!#REF!</definedName>
    <definedName name="外部資料_890" localSheetId="3">評比系統!$T$1:$AJ$3</definedName>
    <definedName name="外部資料_891" localSheetId="3">評比系統!$T$1:$AJ$3</definedName>
    <definedName name="外部資料_892" localSheetId="3">評比系統!$T$1:$AJ$3</definedName>
    <definedName name="外部資料_893" localSheetId="3">評比系統!$T$1:$AJ$3</definedName>
    <definedName name="外部資料_894" localSheetId="3">評比系統!$T$1:$AJ$3</definedName>
    <definedName name="外部資料_895" localSheetId="3">評比系統!$T$1:$AJ$3</definedName>
    <definedName name="外部資料_896" localSheetId="3">評比系統!$T$1:$AJ$3</definedName>
    <definedName name="外部資料_897" localSheetId="3">評比系統!$T$1:$AJ$3</definedName>
    <definedName name="外部資料_898" localSheetId="3">評比系統!$T$1:$AJ$3</definedName>
    <definedName name="外部資料_899" localSheetId="3">評比系統!$T$1:$AJ$3</definedName>
    <definedName name="外部資料_9" localSheetId="14">PKA!#REF!</definedName>
    <definedName name="外部資料_9" localSheetId="15">PKB!#REF!</definedName>
    <definedName name="外部資料_9" localSheetId="16">PKC!#REF!</definedName>
    <definedName name="外部資料_9" localSheetId="7">PSR!#REF!</definedName>
    <definedName name="外部資料_9" localSheetId="2">紅綠燈!#REF!</definedName>
    <definedName name="外部資料_9" localSheetId="3">評比系統!#REF!</definedName>
    <definedName name="外部資料_9" localSheetId="9">葛林公式!$M$1:$W$61</definedName>
    <definedName name="外部資料_9" localSheetId="17">福邦!#REF!</definedName>
    <definedName name="外部資料_9" localSheetId="4">篩股系統!#REF!</definedName>
    <definedName name="外部資料_9" localSheetId="6">營收搶先報!#REF!</definedName>
    <definedName name="外部資料_90" localSheetId="14">PKA!#REF!</definedName>
    <definedName name="外部資料_90" localSheetId="15">PKB!#REF!</definedName>
    <definedName name="外部資料_90" localSheetId="16">PKC!#REF!</definedName>
    <definedName name="外部資料_90" localSheetId="7">PSR!#REF!</definedName>
    <definedName name="外部資料_90" localSheetId="3">評比系統!$T$1:$T$3</definedName>
    <definedName name="外部資料_90" localSheetId="17">福邦!#REF!</definedName>
    <definedName name="外部資料_900" localSheetId="3">評比系統!$T$1:$AJ$3</definedName>
    <definedName name="外部資料_901" localSheetId="3">評比系統!$T$1:$AJ$3</definedName>
    <definedName name="外部資料_902" localSheetId="3">評比系統!$T$1:$AJ$3</definedName>
    <definedName name="外部資料_903" localSheetId="3">評比系統!$T$1:$AJ$3</definedName>
    <definedName name="外部資料_904" localSheetId="3">評比系統!$T$1:$AJ$3</definedName>
    <definedName name="外部資料_905" localSheetId="3">評比系統!$T$1:$AJ$3</definedName>
    <definedName name="外部資料_906" localSheetId="3">評比系統!$T$1:$AJ$3</definedName>
    <definedName name="外部資料_907" localSheetId="3">評比系統!$T$1:$AJ$3</definedName>
    <definedName name="外部資料_908" localSheetId="3">評比系統!$T$1:$AJ$3</definedName>
    <definedName name="外部資料_909" localSheetId="3">評比系統!$T$1:$AJ$3</definedName>
    <definedName name="外部資料_91" localSheetId="14">PKA!#REF!</definedName>
    <definedName name="外部資料_91" localSheetId="15">PKB!#REF!</definedName>
    <definedName name="外部資料_91" localSheetId="16">PKC!#REF!</definedName>
    <definedName name="外部資料_91" localSheetId="7">PSR!#REF!</definedName>
    <definedName name="外部資料_91" localSheetId="3">評比系統!$T$1:$T$3</definedName>
    <definedName name="外部資料_91" localSheetId="17">福邦!#REF!</definedName>
    <definedName name="外部資料_910" localSheetId="3">評比系統!$T$1:$AJ$3</definedName>
    <definedName name="外部資料_911" localSheetId="3">評比系統!$T$1:$AJ$3</definedName>
    <definedName name="外部資料_912" localSheetId="3">評比系統!$T$1:$AJ$3</definedName>
    <definedName name="外部資料_913" localSheetId="3">評比系統!$T$1:$AJ$3</definedName>
    <definedName name="外部資料_914" localSheetId="3">評比系統!$T$1:$AJ$3</definedName>
    <definedName name="外部資料_915" localSheetId="3">評比系統!$T$1:$AJ$3</definedName>
    <definedName name="外部資料_916" localSheetId="3">評比系統!$T$1:$AJ$3</definedName>
    <definedName name="外部資料_917" localSheetId="3">評比系統!$T$1:$AJ$3</definedName>
    <definedName name="外部資料_918" localSheetId="3">評比系統!$T$1:$AJ$3</definedName>
    <definedName name="外部資料_919" localSheetId="3">評比系統!$T$1:$AJ$3</definedName>
    <definedName name="外部資料_92" localSheetId="14">PKA!#REF!</definedName>
    <definedName name="外部資料_92" localSheetId="15">PKB!#REF!</definedName>
    <definedName name="外部資料_92" localSheetId="16">PKC!#REF!</definedName>
    <definedName name="外部資料_92" localSheetId="7">PSR!#REF!</definedName>
    <definedName name="外部資料_92" localSheetId="3">評比系統!$T$1:$T$3</definedName>
    <definedName name="外部資料_92" localSheetId="17">福邦!#REF!</definedName>
    <definedName name="外部資料_920" localSheetId="3">評比系統!$T$1:$AJ$3</definedName>
    <definedName name="外部資料_921" localSheetId="3">評比系統!$T$1:$AJ$3</definedName>
    <definedName name="外部資料_922" localSheetId="3">評比系統!$T$1:$AJ$3</definedName>
    <definedName name="外部資料_923" localSheetId="3">評比系統!$T$1:$AJ$3</definedName>
    <definedName name="外部資料_924" localSheetId="3">評比系統!$T$1:$AJ$3</definedName>
    <definedName name="外部資料_925" localSheetId="3">評比系統!$T$1:$AJ$3</definedName>
    <definedName name="外部資料_926" localSheetId="3">評比系統!$T$1:$AJ$3</definedName>
    <definedName name="外部資料_927" localSheetId="3">評比系統!$T$1:$AJ$3</definedName>
    <definedName name="外部資料_928" localSheetId="3">評比系統!$T$1:$AJ$3</definedName>
    <definedName name="外部資料_929" localSheetId="3">評比系統!$T$1:$AJ$3</definedName>
    <definedName name="外部資料_93" localSheetId="14">PKA!#REF!</definedName>
    <definedName name="外部資料_93" localSheetId="15">PKB!#REF!</definedName>
    <definedName name="外部資料_93" localSheetId="16">PKC!#REF!</definedName>
    <definedName name="外部資料_93" localSheetId="7">PSR!#REF!</definedName>
    <definedName name="外部資料_93" localSheetId="3">評比系統!$T$1:$T$3</definedName>
    <definedName name="外部資料_93" localSheetId="17">福邦!#REF!</definedName>
    <definedName name="外部資料_930" localSheetId="3">評比系統!$T$1:$AJ$3</definedName>
    <definedName name="外部資料_931" localSheetId="3">評比系統!$T$1:$AJ$3</definedName>
    <definedName name="外部資料_932" localSheetId="3">評比系統!$T$1:$AJ$3</definedName>
    <definedName name="外部資料_933" localSheetId="3">評比系統!$T$1:$AJ$3</definedName>
    <definedName name="外部資料_934" localSheetId="3">評比系統!$T$1:$AJ$3</definedName>
    <definedName name="外部資料_935" localSheetId="3">評比系統!$T$1:$AJ$3</definedName>
    <definedName name="外部資料_936" localSheetId="3">評比系統!$T$1:$AJ$3</definedName>
    <definedName name="外部資料_937" localSheetId="3">評比系統!$T$1:$AJ$3</definedName>
    <definedName name="外部資料_938" localSheetId="2">紅綠燈!#REF!</definedName>
    <definedName name="外部資料_939" localSheetId="3">評比系統!$T$1:$AJ$3</definedName>
    <definedName name="外部資料_94" localSheetId="14">PKA!#REF!</definedName>
    <definedName name="外部資料_94" localSheetId="15">PKB!#REF!</definedName>
    <definedName name="外部資料_94" localSheetId="16">PKC!#REF!</definedName>
    <definedName name="外部資料_94" localSheetId="7">PSR!#REF!</definedName>
    <definedName name="外部資料_94" localSheetId="3">評比系統!$T$1:$T$3</definedName>
    <definedName name="外部資料_94" localSheetId="17">福邦!#REF!</definedName>
    <definedName name="外部資料_940" localSheetId="3">評比系統!$T$1:$AJ$3</definedName>
    <definedName name="外部資料_941" localSheetId="3">評比系統!$T$1:$AJ$3</definedName>
    <definedName name="外部資料_942" localSheetId="3">評比系統!$T$1:$AJ$3</definedName>
    <definedName name="外部資料_943" localSheetId="3">評比系統!$T$1:$AJ$3</definedName>
    <definedName name="外部資料_944" localSheetId="3">評比系統!$T$1:$AJ$3</definedName>
    <definedName name="外部資料_945" localSheetId="3">評比系統!$T$1:$AJ$3</definedName>
    <definedName name="外部資料_946" localSheetId="3">評比系統!$T$1:$AJ$3</definedName>
    <definedName name="外部資料_947" localSheetId="3">評比系統!$T$1:$AJ$3</definedName>
    <definedName name="外部資料_948" localSheetId="3">評比系統!$T$1:$AJ$3</definedName>
    <definedName name="外部資料_949" localSheetId="3">評比系統!$T$1:$AJ$3</definedName>
    <definedName name="外部資料_95" localSheetId="14">PKA!#REF!</definedName>
    <definedName name="外部資料_95" localSheetId="15">PKB!#REF!</definedName>
    <definedName name="外部資料_95" localSheetId="16">PKC!#REF!</definedName>
    <definedName name="外部資料_95" localSheetId="7">PSR!#REF!</definedName>
    <definedName name="外部資料_95" localSheetId="3">評比系統!$T$1:$T$3</definedName>
    <definedName name="外部資料_95" localSheetId="17">福邦!#REF!</definedName>
    <definedName name="外部資料_950" localSheetId="3">評比系統!$T$1:$AJ$3</definedName>
    <definedName name="外部資料_951" localSheetId="3">評比系統!$T$1:$AJ$3</definedName>
    <definedName name="外部資料_952" localSheetId="3">評比系統!$T$1:$AJ$3</definedName>
    <definedName name="外部資料_953" localSheetId="3">評比系統!$T$1:$AJ$3</definedName>
    <definedName name="外部資料_954" localSheetId="3">評比系統!$T$1:$AJ$3</definedName>
    <definedName name="外部資料_955" localSheetId="3">評比系統!$T$1:$V$3</definedName>
    <definedName name="外部資料_956" localSheetId="3">評比系統!$T$1:$AJ$3</definedName>
    <definedName name="外部資料_957" localSheetId="3">評比系統!$T$1:$V$3</definedName>
    <definedName name="外部資料_958" localSheetId="3">評比系統!$T$1:$AJ$3</definedName>
    <definedName name="外部資料_959" localSheetId="3">評比系統!$T$1:$AJ$3</definedName>
    <definedName name="外部資料_96" localSheetId="14">PKA!#REF!</definedName>
    <definedName name="外部資料_96" localSheetId="15">PKB!#REF!</definedName>
    <definedName name="外部資料_96" localSheetId="16">PKC!#REF!</definedName>
    <definedName name="外部資料_96" localSheetId="7">PSR!#REF!</definedName>
    <definedName name="外部資料_96" localSheetId="3">評比系統!$T$1:$T$3</definedName>
    <definedName name="外部資料_96" localSheetId="17">福邦!#REF!</definedName>
    <definedName name="外部資料_960" localSheetId="3">評比系統!$T$1:$AJ$3</definedName>
    <definedName name="外部資料_961" localSheetId="3">評比系統!$T$1:$AJ$3</definedName>
    <definedName name="外部資料_962" localSheetId="3">評比系統!$T$1:$AJ$3</definedName>
    <definedName name="外部資料_963" localSheetId="3">評比系統!$T$1:$AJ$3</definedName>
    <definedName name="外部資料_964" localSheetId="3">評比系統!$T$1:$AJ$3</definedName>
    <definedName name="外部資料_965" localSheetId="3">評比系統!$T$1:$AJ$3</definedName>
    <definedName name="外部資料_966" localSheetId="3">評比系統!$T$1:$AJ$3</definedName>
    <definedName name="外部資料_967" localSheetId="3">評比系統!$T$1:$AJ$3</definedName>
    <definedName name="外部資料_968" localSheetId="2">紅綠燈!#REF!</definedName>
    <definedName name="外部資料_969" localSheetId="3">評比系統!$T$1:$AF$3</definedName>
    <definedName name="外部資料_97" localSheetId="14">PKA!#REF!</definedName>
    <definedName name="外部資料_97" localSheetId="15">PKB!#REF!</definedName>
    <definedName name="外部資料_97" localSheetId="16">PKC!#REF!</definedName>
    <definedName name="外部資料_97" localSheetId="7">PSR!#REF!</definedName>
    <definedName name="外部資料_97" localSheetId="3">評比系統!$T$1:$T$3</definedName>
    <definedName name="外部資料_97" localSheetId="17">福邦!#REF!</definedName>
    <definedName name="外部資料_970" localSheetId="3">評比系統!$T$1:$AF$3</definedName>
    <definedName name="外部資料_971" localSheetId="3">評比系統!$T$1:$AF$3</definedName>
    <definedName name="外部資料_972" localSheetId="3">評比系統!$T$1:$AF$3</definedName>
    <definedName name="外部資料_973" localSheetId="3">評比系統!$T$1:$AF$3</definedName>
    <definedName name="外部資料_974" localSheetId="3">評比系統!$T$1:$AF$3</definedName>
    <definedName name="外部資料_975" localSheetId="3">評比系統!$T$1:$AF$3</definedName>
    <definedName name="外部資料_976" localSheetId="3">評比系統!$T$1:$AF$3</definedName>
    <definedName name="外部資料_977" localSheetId="3">評比系統!$T$1:$AF$3</definedName>
    <definedName name="外部資料_978" localSheetId="3">評比系統!$T$1:$AF$3</definedName>
    <definedName name="外部資料_979" localSheetId="3">評比系統!$T$1:$AF$3</definedName>
    <definedName name="外部資料_98" localSheetId="14">PKA!#REF!</definedName>
    <definedName name="外部資料_98" localSheetId="15">PKB!#REF!</definedName>
    <definedName name="外部資料_98" localSheetId="16">PKC!#REF!</definedName>
    <definedName name="外部資料_98" localSheetId="7">PSR!#REF!</definedName>
    <definedName name="外部資料_98" localSheetId="3">評比系統!$T$1:$T$3</definedName>
    <definedName name="外部資料_98" localSheetId="17">福邦!#REF!</definedName>
    <definedName name="外部資料_980" localSheetId="3">評比系統!$T$1:$AF$3</definedName>
    <definedName name="外部資料_981" localSheetId="3">評比系統!$T$1:$AF$3</definedName>
    <definedName name="外部資料_982" localSheetId="3">評比系統!$T$1:$AF$3</definedName>
    <definedName name="外部資料_983" localSheetId="3">評比系統!$T$1:$AF$3</definedName>
    <definedName name="外部資料_984" localSheetId="3">評比系統!$T$1:$AF$3</definedName>
    <definedName name="外部資料_985" localSheetId="3">評比系統!$T$1:$AF$3</definedName>
    <definedName name="外部資料_986" localSheetId="3">評比系統!$T$1:$AF$3</definedName>
    <definedName name="外部資料_987" localSheetId="3">評比系統!$T$1:$AF$3</definedName>
    <definedName name="外部資料_988" localSheetId="3">評比系統!$T$1:$AF$3</definedName>
    <definedName name="外部資料_989" localSheetId="3">評比系統!$T$1:$AF$3</definedName>
    <definedName name="外部資料_99" localSheetId="14">PKA!#REF!</definedName>
    <definedName name="外部資料_99" localSheetId="15">PKB!#REF!</definedName>
    <definedName name="外部資料_99" localSheetId="16">PKC!#REF!</definedName>
    <definedName name="外部資料_99" localSheetId="7">PSR!#REF!</definedName>
    <definedName name="外部資料_99" localSheetId="3">評比系統!$T$1:$T$3</definedName>
    <definedName name="外部資料_99" localSheetId="17">福邦!#REF!</definedName>
    <definedName name="外部資料_990" localSheetId="3">評比系統!$T$1:$AF$3</definedName>
    <definedName name="外部資料_991" localSheetId="3">評比系統!$T$1:$AF$3</definedName>
    <definedName name="外部資料_992" localSheetId="3">評比系統!$T$1:$AF$3</definedName>
    <definedName name="外部資料_993" localSheetId="3">評比系統!$T$1:$AF$3</definedName>
    <definedName name="外部資料_994" localSheetId="3">評比系統!$T$1:$AF$3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3">評比系統!$T$3</definedName>
    <definedName name="持股分佈_1" localSheetId="3">評比系統!#REF!</definedName>
    <definedName name="持股分佈_10" localSheetId="3">評比系統!$AD$3</definedName>
    <definedName name="持股分佈_11" localSheetId="3">評比系統!$T$3</definedName>
    <definedName name="持股分佈_12" localSheetId="3">評比系統!$Y$3</definedName>
    <definedName name="持股分佈_13" localSheetId="3">評比系統!$AD$3</definedName>
    <definedName name="持股分佈_14" localSheetId="3">評比系統!$T$3</definedName>
    <definedName name="持股分佈_15" localSheetId="3">評比系統!$Y$3</definedName>
    <definedName name="持股分佈_16" localSheetId="3">評比系統!$AD$3</definedName>
    <definedName name="持股分佈_17" localSheetId="3">評比系統!$T$3</definedName>
    <definedName name="持股分佈_18" localSheetId="3">評比系統!$Y$3</definedName>
    <definedName name="持股分佈_19" localSheetId="3">評比系統!$AD$3</definedName>
    <definedName name="持股分佈_2" localSheetId="3">評比系統!#REF!</definedName>
    <definedName name="持股分佈_20" localSheetId="3">評比系統!$T$3</definedName>
    <definedName name="持股分佈_21" localSheetId="3">評比系統!$Y$3</definedName>
    <definedName name="持股分佈_22" localSheetId="3">評比系統!$AD$3</definedName>
    <definedName name="持股分佈_23" localSheetId="3">評比系統!$T$3</definedName>
    <definedName name="持股分佈_24" localSheetId="3">評比系統!$Y$3</definedName>
    <definedName name="持股分佈_25" localSheetId="3">評比系統!$AD$3</definedName>
    <definedName name="持股分佈_26" localSheetId="3">評比系統!$T$3</definedName>
    <definedName name="持股分佈_27" localSheetId="3">評比系統!$Y$3</definedName>
    <definedName name="持股分佈_28" localSheetId="3">評比系統!$AD$3</definedName>
    <definedName name="持股分佈_29" localSheetId="3">評比系統!$T$3</definedName>
    <definedName name="持股分佈_3" localSheetId="3">評比系統!$Y$3</definedName>
    <definedName name="持股分佈_30" localSheetId="3">評比系統!$Y$3</definedName>
    <definedName name="持股分佈_31" localSheetId="3">評比系統!$AD$3</definedName>
    <definedName name="持股分佈_32" localSheetId="3">評比系統!$T$3</definedName>
    <definedName name="持股分佈_33" localSheetId="3">評比系統!$Y$3</definedName>
    <definedName name="持股分佈_34" localSheetId="3">評比系統!$AD$3</definedName>
    <definedName name="持股分佈_35" localSheetId="3">評比系統!$T$3</definedName>
    <definedName name="持股分佈_36" localSheetId="3">評比系統!$Y$3</definedName>
    <definedName name="持股分佈_37" localSheetId="3">評比系統!$AD$3</definedName>
    <definedName name="持股分佈_38" localSheetId="3">評比系統!$T$3</definedName>
    <definedName name="持股分佈_38" localSheetId="4">篩股系統!$H$2</definedName>
    <definedName name="持股分佈_39" localSheetId="3">評比系統!$Y$3</definedName>
    <definedName name="持股分佈_4" localSheetId="3">評比系統!$AD$3</definedName>
    <definedName name="持股分佈_40" localSheetId="3">評比系統!$AD$3</definedName>
    <definedName name="持股分佈_41" localSheetId="3">評比系統!$T$3</definedName>
    <definedName name="持股分佈_42" localSheetId="3">評比系統!$Y$3</definedName>
    <definedName name="持股分佈_43" localSheetId="3">評比系統!$AD$3</definedName>
    <definedName name="持股分佈_44" localSheetId="3">評比系統!$T$3</definedName>
    <definedName name="持股分佈_45" localSheetId="3">評比系統!$Y$3</definedName>
    <definedName name="持股分佈_46" localSheetId="3">評比系統!$AD$3</definedName>
    <definedName name="持股分佈_47" localSheetId="3">評比系統!$T$3</definedName>
    <definedName name="持股分佈_48" localSheetId="3">評比系統!$Y$3</definedName>
    <definedName name="持股分佈_49" localSheetId="3">評比系統!$AD$3</definedName>
    <definedName name="持股分佈_5" localSheetId="3">評比系統!$T$3</definedName>
    <definedName name="持股分佈_50" localSheetId="3">評比系統!$T$3</definedName>
    <definedName name="持股分佈_51" localSheetId="3">評比系統!$Y$3</definedName>
    <definedName name="持股分佈_52" localSheetId="3">評比系統!$AD$3</definedName>
    <definedName name="持股分佈_53" localSheetId="3">評比系統!$T$3</definedName>
    <definedName name="持股分佈_54" localSheetId="3">評比系統!$Y$3</definedName>
    <definedName name="持股分佈_55" localSheetId="3">評比系統!$AD$3</definedName>
    <definedName name="持股分佈_56" localSheetId="3">評比系統!$T$3</definedName>
    <definedName name="持股分佈_57" localSheetId="3">評比系統!$Y$3</definedName>
    <definedName name="持股分佈_58" localSheetId="3">評比系統!$AD$3</definedName>
    <definedName name="持股分佈_59" localSheetId="3">評比系統!$T$3</definedName>
    <definedName name="持股分佈_6" localSheetId="3">評比系統!$Y$3</definedName>
    <definedName name="持股分佈_60" localSheetId="3">評比系統!$Y$3</definedName>
    <definedName name="持股分佈_61" localSheetId="3">評比系統!$AD$3</definedName>
    <definedName name="持股分佈_62" localSheetId="3">評比系統!$T$3</definedName>
    <definedName name="持股分佈_63" localSheetId="3">評比系統!$Y$3</definedName>
    <definedName name="持股分佈_64" localSheetId="3">評比系統!$AD$3</definedName>
    <definedName name="持股分佈_65" localSheetId="3">評比系統!$T$3</definedName>
    <definedName name="持股分佈_66" localSheetId="3">評比系統!$Y$3</definedName>
    <definedName name="持股分佈_67" localSheetId="3">評比系統!$AD$3</definedName>
    <definedName name="持股分佈_68" localSheetId="3">評比系統!$T$3</definedName>
    <definedName name="持股分佈_69" localSheetId="3">評比系統!$Y$3</definedName>
    <definedName name="持股分佈_7" localSheetId="3">評比系統!$AD$3</definedName>
    <definedName name="持股分佈_70" localSheetId="3">評比系統!$AD$3</definedName>
    <definedName name="持股分佈_71" localSheetId="3">評比系統!$T$3</definedName>
    <definedName name="持股分佈_72" localSheetId="3">評比系統!$Y$3</definedName>
    <definedName name="持股分佈_73" localSheetId="3">評比系統!$AD$3</definedName>
    <definedName name="持股分佈_74" localSheetId="3">評比系統!$T$3</definedName>
    <definedName name="持股分佈_75" localSheetId="3">評比系統!$Y$3</definedName>
    <definedName name="持股分佈_76" localSheetId="3">評比系統!$AD$3</definedName>
    <definedName name="持股分佈_77" localSheetId="3">評比系統!$T$3</definedName>
    <definedName name="持股分佈_78" localSheetId="3">評比系統!$Y$3</definedName>
    <definedName name="持股分佈_79" localSheetId="3">評比系統!$AD$3</definedName>
    <definedName name="持股分佈_8" localSheetId="3">評比系統!$T$3</definedName>
    <definedName name="持股分佈_80" localSheetId="3">評比系統!$T$3</definedName>
    <definedName name="持股分佈_81" localSheetId="3">評比系統!$Y$3</definedName>
    <definedName name="持股分佈_82" localSheetId="3">評比系統!$AD$3</definedName>
    <definedName name="持股分佈_83" localSheetId="3">評比系統!$T$3</definedName>
    <definedName name="持股分佈_84" localSheetId="3">評比系統!$Y$3</definedName>
    <definedName name="持股分佈_85" localSheetId="3">評比系統!$AD$3</definedName>
    <definedName name="持股分佈_86" localSheetId="3">評比系統!$T$3</definedName>
    <definedName name="持股分佈_87" localSheetId="3">評比系統!$Y$3</definedName>
    <definedName name="持股分佈_88" localSheetId="3">評比系統!$AD$3</definedName>
    <definedName name="持股分佈_89" localSheetId="3">評比系統!$T$3</definedName>
    <definedName name="持股分佈_9" localSheetId="3">評比系統!$Y$3</definedName>
    <definedName name="持股分佈_90" localSheetId="3">評比系統!$Y$3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N36" i="2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E1480" i="3" l="1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81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1585" i="17"/>
  <c r="D1582"/>
  <c r="D1577"/>
  <c r="D3"/>
  <c r="D1563"/>
  <c r="D1422"/>
  <c r="D1560"/>
  <c r="D1559"/>
  <c r="D1322"/>
  <c r="D1083"/>
  <c r="D1558"/>
  <c r="D1557"/>
  <c r="D1146"/>
  <c r="D1556"/>
  <c r="D1550"/>
  <c r="D824"/>
  <c r="D1549"/>
  <c r="D333"/>
  <c r="D1519"/>
  <c r="D1365"/>
  <c r="D1237"/>
  <c r="D1548"/>
  <c r="D1259"/>
  <c r="D1282"/>
  <c r="D798"/>
  <c r="D1537"/>
  <c r="D1536"/>
  <c r="D1534"/>
  <c r="D1535"/>
  <c r="D1533"/>
  <c r="D1530"/>
  <c r="D1528"/>
  <c r="D1529"/>
  <c r="D1526"/>
  <c r="D1527"/>
  <c r="D1525"/>
  <c r="D1523"/>
  <c r="D1532"/>
  <c r="D1531"/>
  <c r="D1522"/>
  <c r="D1520"/>
  <c r="D1521"/>
  <c r="D1524"/>
  <c r="D1517"/>
  <c r="D1516"/>
  <c r="D1514"/>
  <c r="D1494"/>
  <c r="D1505"/>
  <c r="D1518"/>
  <c r="D1513"/>
  <c r="D1512"/>
  <c r="D1510"/>
  <c r="D1511"/>
  <c r="D1504"/>
  <c r="D1515"/>
  <c r="D1506"/>
  <c r="D1509"/>
  <c r="D1508"/>
  <c r="D1501"/>
  <c r="D1503"/>
  <c r="D1499"/>
  <c r="D1490"/>
  <c r="D1493"/>
  <c r="D1498"/>
  <c r="D1478"/>
  <c r="D1495"/>
  <c r="D1502"/>
  <c r="D1500"/>
  <c r="D1477"/>
  <c r="D1473"/>
  <c r="D1488"/>
  <c r="D1492"/>
  <c r="D1555"/>
  <c r="D1497"/>
  <c r="D1411"/>
  <c r="D1491"/>
  <c r="D1381"/>
  <c r="D1484"/>
  <c r="D1482"/>
  <c r="D1483"/>
  <c r="D1409"/>
  <c r="D1485"/>
  <c r="D1479"/>
  <c r="D1480"/>
  <c r="D1486"/>
  <c r="D1454"/>
  <c r="D1460"/>
  <c r="D1489"/>
  <c r="D1443"/>
  <c r="D1449"/>
  <c r="D1487"/>
  <c r="D1547"/>
  <c r="D1475"/>
  <c r="D1471"/>
  <c r="D1476"/>
  <c r="D1458"/>
  <c r="D1481"/>
  <c r="D1472"/>
  <c r="D1468"/>
  <c r="D1546"/>
  <c r="D1496"/>
  <c r="D1448"/>
  <c r="D1474"/>
  <c r="D1467"/>
  <c r="D1464"/>
  <c r="D1470"/>
  <c r="D1469"/>
  <c r="D1456"/>
  <c r="D1507"/>
  <c r="D1466"/>
  <c r="D1446"/>
  <c r="D1455"/>
  <c r="D1462"/>
  <c r="D1432"/>
  <c r="D1463"/>
  <c r="D1554"/>
  <c r="D1441"/>
  <c r="D1427"/>
  <c r="D1439"/>
  <c r="D1437"/>
  <c r="D1434"/>
  <c r="D1425"/>
  <c r="D1426"/>
  <c r="D1447"/>
  <c r="D1465"/>
  <c r="D1452"/>
  <c r="D1417"/>
  <c r="D1438"/>
  <c r="D1431"/>
  <c r="D1451"/>
  <c r="D1457"/>
  <c r="D1440"/>
  <c r="D1419"/>
  <c r="D1410"/>
  <c r="D1453"/>
  <c r="D1418"/>
  <c r="D1445"/>
  <c r="D1423"/>
  <c r="D1392"/>
  <c r="D1433"/>
  <c r="D1421"/>
  <c r="D1400"/>
  <c r="D1413"/>
  <c r="D1436"/>
  <c r="D1545"/>
  <c r="D1544"/>
  <c r="D1424"/>
  <c r="D1442"/>
  <c r="D1406"/>
  <c r="D1416"/>
  <c r="D1461"/>
  <c r="D1325"/>
  <c r="D1408"/>
  <c r="D1377"/>
  <c r="D1428"/>
  <c r="D1384"/>
  <c r="D1395"/>
  <c r="D1412"/>
  <c r="D1407"/>
  <c r="D1420"/>
  <c r="D1543"/>
  <c r="D1372"/>
  <c r="D1444"/>
  <c r="D1399"/>
  <c r="D1313"/>
  <c r="D1398"/>
  <c r="D1354"/>
  <c r="D1229"/>
  <c r="D1429"/>
  <c r="D1459"/>
  <c r="D1401"/>
  <c r="D1435"/>
  <c r="D1388"/>
  <c r="D1391"/>
  <c r="D1402"/>
  <c r="D1415"/>
  <c r="D1393"/>
  <c r="D1387"/>
  <c r="D1405"/>
  <c r="D1414"/>
  <c r="D1403"/>
  <c r="D1376"/>
  <c r="D1542"/>
  <c r="D1301"/>
  <c r="D1378"/>
  <c r="D1382"/>
  <c r="D1379"/>
  <c r="D1380"/>
  <c r="D1390"/>
  <c r="D1450"/>
  <c r="D1374"/>
  <c r="D1340"/>
  <c r="D1389"/>
  <c r="D1363"/>
  <c r="D1371"/>
  <c r="D1397"/>
  <c r="D1361"/>
  <c r="D1347"/>
  <c r="D1343"/>
  <c r="D1385"/>
  <c r="D1373"/>
  <c r="D1358"/>
  <c r="D1308"/>
  <c r="D1386"/>
  <c r="D1353"/>
  <c r="D1383"/>
  <c r="D1369"/>
  <c r="D1346"/>
  <c r="D1360"/>
  <c r="D1357"/>
  <c r="D1352"/>
  <c r="D1338"/>
  <c r="D1394"/>
  <c r="D1364"/>
  <c r="D1362"/>
  <c r="D1368"/>
  <c r="D1396"/>
  <c r="D1349"/>
  <c r="D1356"/>
  <c r="D1314"/>
  <c r="D1334"/>
  <c r="D1367"/>
  <c r="D1359"/>
  <c r="D1366"/>
  <c r="D1337"/>
  <c r="D1191"/>
  <c r="D1293"/>
  <c r="D1326"/>
  <c r="D1332"/>
  <c r="D1351"/>
  <c r="D1320"/>
  <c r="D1306"/>
  <c r="D1344"/>
  <c r="D1331"/>
  <c r="D1321"/>
  <c r="D1345"/>
  <c r="D1341"/>
  <c r="D1117"/>
  <c r="D1370"/>
  <c r="D1319"/>
  <c r="D1336"/>
  <c r="D1309"/>
  <c r="D1254"/>
  <c r="D1242"/>
  <c r="D1333"/>
  <c r="D1327"/>
  <c r="D1335"/>
  <c r="D1312"/>
  <c r="D1280"/>
  <c r="D1310"/>
  <c r="D1311"/>
  <c r="D1291"/>
  <c r="D1342"/>
  <c r="D1328"/>
  <c r="D1318"/>
  <c r="D1207"/>
  <c r="D1300"/>
  <c r="D1294"/>
  <c r="D1299"/>
  <c r="D1350"/>
  <c r="D1266"/>
  <c r="D1329"/>
  <c r="D1315"/>
  <c r="D1307"/>
  <c r="D1348"/>
  <c r="D980"/>
  <c r="D1296"/>
  <c r="D1304"/>
  <c r="D1303"/>
  <c r="D1295"/>
  <c r="D1287"/>
  <c r="D1323"/>
  <c r="D1404"/>
  <c r="D1355"/>
  <c r="D1289"/>
  <c r="D1305"/>
  <c r="D1273"/>
  <c r="D1279"/>
  <c r="D1236"/>
  <c r="D1316"/>
  <c r="D1281"/>
  <c r="D1375"/>
  <c r="D1330"/>
  <c r="D1286"/>
  <c r="D1276"/>
  <c r="D1430"/>
  <c r="D1278"/>
  <c r="D1277"/>
  <c r="D1275"/>
  <c r="D1023"/>
  <c r="D1262"/>
  <c r="D1267"/>
  <c r="D1292"/>
  <c r="D1152"/>
  <c r="D1269"/>
  <c r="D1140"/>
  <c r="D1182"/>
  <c r="D1215"/>
  <c r="D1231"/>
  <c r="D1248"/>
  <c r="D1260"/>
  <c r="D1268"/>
  <c r="D1302"/>
  <c r="D1243"/>
  <c r="D1245"/>
  <c r="D1288"/>
  <c r="D1238"/>
  <c r="D1250"/>
  <c r="D1240"/>
  <c r="D1252"/>
  <c r="D1283"/>
  <c r="D1258"/>
  <c r="D1261"/>
  <c r="D1221"/>
  <c r="D1235"/>
  <c r="D1263"/>
  <c r="D1324"/>
  <c r="D1270"/>
  <c r="D1172"/>
  <c r="D1251"/>
  <c r="D1212"/>
  <c r="D1216"/>
  <c r="D1284"/>
  <c r="D1274"/>
  <c r="D1290"/>
  <c r="D1253"/>
  <c r="D1249"/>
  <c r="D1241"/>
  <c r="D1247"/>
  <c r="D1272"/>
  <c r="D1226"/>
  <c r="D1285"/>
  <c r="D1165"/>
  <c r="D1220"/>
  <c r="D1271"/>
  <c r="D1233"/>
  <c r="D1255"/>
  <c r="D1230"/>
  <c r="D1256"/>
  <c r="D1131"/>
  <c r="D1246"/>
  <c r="D1185"/>
  <c r="D1223"/>
  <c r="D1339"/>
  <c r="D1201"/>
  <c r="D1225"/>
  <c r="D1178"/>
  <c r="D1227"/>
  <c r="D1257"/>
  <c r="D1199"/>
  <c r="D1143"/>
  <c r="D1190"/>
  <c r="D1209"/>
  <c r="D1222"/>
  <c r="D1180"/>
  <c r="D1244"/>
  <c r="D1187"/>
  <c r="D1127"/>
  <c r="D1198"/>
  <c r="D1541"/>
  <c r="D1217"/>
  <c r="D1553"/>
  <c r="D1205"/>
  <c r="D1171"/>
  <c r="D1173"/>
  <c r="D1264"/>
  <c r="D1540"/>
  <c r="D1204"/>
  <c r="D1164"/>
  <c r="D1174"/>
  <c r="D1189"/>
  <c r="D1202"/>
  <c r="D1186"/>
  <c r="D1317"/>
  <c r="D1179"/>
  <c r="D1192"/>
  <c r="D1208"/>
  <c r="D1298"/>
  <c r="D1213"/>
  <c r="D1197"/>
  <c r="D1157"/>
  <c r="D1214"/>
  <c r="D1169"/>
  <c r="D1193"/>
  <c r="D1219"/>
  <c r="D1196"/>
  <c r="D1194"/>
  <c r="D1206"/>
  <c r="D1200"/>
  <c r="D1160"/>
  <c r="D1195"/>
  <c r="D1211"/>
  <c r="D1184"/>
  <c r="D1102"/>
  <c r="D1129"/>
  <c r="D1177"/>
  <c r="D1151"/>
  <c r="D1108"/>
  <c r="D1175"/>
  <c r="D1265"/>
  <c r="D1089"/>
  <c r="D1133"/>
  <c r="D1183"/>
  <c r="D1232"/>
  <c r="D1158"/>
  <c r="D1121"/>
  <c r="D1218"/>
  <c r="D1144"/>
  <c r="D1168"/>
  <c r="D1132"/>
  <c r="D1155"/>
  <c r="D1166"/>
  <c r="D1162"/>
  <c r="D1167"/>
  <c r="D1138"/>
  <c r="D1135"/>
  <c r="D1297"/>
  <c r="D1181"/>
  <c r="D912"/>
  <c r="D1136"/>
  <c r="D1150"/>
  <c r="D1149"/>
  <c r="D1159"/>
  <c r="D1234"/>
  <c r="D1154"/>
  <c r="D1139"/>
  <c r="D1170"/>
  <c r="D1112"/>
  <c r="D1122"/>
  <c r="D1163"/>
  <c r="D1095"/>
  <c r="D1099"/>
  <c r="D1126"/>
  <c r="D1118"/>
  <c r="D1104"/>
  <c r="D1120"/>
  <c r="D1125"/>
  <c r="D1145"/>
  <c r="D1141"/>
  <c r="D1124"/>
  <c r="D1239"/>
  <c r="D1156"/>
  <c r="D1142"/>
  <c r="D1161"/>
  <c r="D1060"/>
  <c r="D1071"/>
  <c r="D1116"/>
  <c r="D1088"/>
  <c r="D1188"/>
  <c r="D891"/>
  <c r="D1153"/>
  <c r="D1109"/>
  <c r="D1176"/>
  <c r="D1115"/>
  <c r="D1084"/>
  <c r="D1100"/>
  <c r="D1119"/>
  <c r="D1020"/>
  <c r="D1137"/>
  <c r="D1123"/>
  <c r="D1107"/>
  <c r="D1111"/>
  <c r="D1128"/>
  <c r="D1080"/>
  <c r="D1224"/>
  <c r="D1134"/>
  <c r="D1043"/>
  <c r="D1210"/>
  <c r="D1092"/>
  <c r="D1228"/>
  <c r="D1148"/>
  <c r="D1034"/>
  <c r="D1147"/>
  <c r="D1079"/>
  <c r="D1024"/>
  <c r="D1090"/>
  <c r="D1113"/>
  <c r="D1539"/>
  <c r="D1082"/>
  <c r="D1203"/>
  <c r="D1065"/>
  <c r="D1106"/>
  <c r="D1075"/>
  <c r="D1086"/>
  <c r="D839"/>
  <c r="D1103"/>
  <c r="D1061"/>
  <c r="D1016"/>
  <c r="D1114"/>
  <c r="D991"/>
  <c r="D1098"/>
  <c r="D1130"/>
  <c r="D1094"/>
  <c r="D1053"/>
  <c r="D1096"/>
  <c r="D1062"/>
  <c r="D1077"/>
  <c r="D1003"/>
  <c r="D1030"/>
  <c r="D1074"/>
  <c r="D1073"/>
  <c r="D1031"/>
  <c r="D1105"/>
  <c r="D1067"/>
  <c r="D1055"/>
  <c r="D1056"/>
  <c r="D1042"/>
  <c r="D1010"/>
  <c r="D841"/>
  <c r="D1032"/>
  <c r="D1066"/>
  <c r="D1069"/>
  <c r="D1078"/>
  <c r="D932"/>
  <c r="D1039"/>
  <c r="D1021"/>
  <c r="D994"/>
  <c r="D1064"/>
  <c r="D1052"/>
  <c r="D1051"/>
  <c r="D1093"/>
  <c r="D988"/>
  <c r="D1050"/>
  <c r="D1059"/>
  <c r="D769"/>
  <c r="D1047"/>
  <c r="D1085"/>
  <c r="D1028"/>
  <c r="D1091"/>
  <c r="D996"/>
  <c r="D1038"/>
  <c r="D1045"/>
  <c r="D1026"/>
  <c r="D1036"/>
  <c r="D985"/>
  <c r="D1063"/>
  <c r="D1041"/>
  <c r="D992"/>
  <c r="D1029"/>
  <c r="D997"/>
  <c r="D1076"/>
  <c r="D971"/>
  <c r="D1022"/>
  <c r="D1058"/>
  <c r="D1087"/>
  <c r="D1057"/>
  <c r="D1019"/>
  <c r="D942"/>
  <c r="D998"/>
  <c r="D1018"/>
  <c r="D1049"/>
  <c r="D1097"/>
  <c r="D1012"/>
  <c r="D962"/>
  <c r="D649"/>
  <c r="D1027"/>
  <c r="D1110"/>
  <c r="D1008"/>
  <c r="D1006"/>
  <c r="D1005"/>
  <c r="D1044"/>
  <c r="D1014"/>
  <c r="D999"/>
  <c r="D928"/>
  <c r="D1037"/>
  <c r="D987"/>
  <c r="D916"/>
  <c r="D1007"/>
  <c r="D1054"/>
  <c r="D1004"/>
  <c r="D1081"/>
  <c r="D652"/>
  <c r="D1009"/>
  <c r="D1101"/>
  <c r="D1017"/>
  <c r="D1000"/>
  <c r="D1002"/>
  <c r="D949"/>
  <c r="D989"/>
  <c r="D919"/>
  <c r="D976"/>
  <c r="D957"/>
  <c r="D986"/>
  <c r="D1070"/>
  <c r="D960"/>
  <c r="D1068"/>
  <c r="D1033"/>
  <c r="D879"/>
  <c r="D1011"/>
  <c r="D939"/>
  <c r="D937"/>
  <c r="D954"/>
  <c r="D1035"/>
  <c r="D905"/>
  <c r="D1048"/>
  <c r="D978"/>
  <c r="D955"/>
  <c r="D816"/>
  <c r="D783"/>
  <c r="D888"/>
  <c r="D967"/>
  <c r="D868"/>
  <c r="D1046"/>
  <c r="D941"/>
  <c r="D946"/>
  <c r="D977"/>
  <c r="D1015"/>
  <c r="D1025"/>
  <c r="D920"/>
  <c r="D965"/>
  <c r="D972"/>
  <c r="D983"/>
  <c r="D950"/>
  <c r="D935"/>
  <c r="D1001"/>
  <c r="D969"/>
  <c r="D901"/>
  <c r="D934"/>
  <c r="D973"/>
  <c r="D943"/>
  <c r="D763"/>
  <c r="D812"/>
  <c r="D1040"/>
  <c r="D885"/>
  <c r="D739"/>
  <c r="D974"/>
  <c r="D871"/>
  <c r="D970"/>
  <c r="D933"/>
  <c r="D914"/>
  <c r="D918"/>
  <c r="D880"/>
  <c r="D923"/>
  <c r="D945"/>
  <c r="D959"/>
  <c r="D963"/>
  <c r="D893"/>
  <c r="D990"/>
  <c r="D940"/>
  <c r="D953"/>
  <c r="D904"/>
  <c r="D995"/>
  <c r="D925"/>
  <c r="D589"/>
  <c r="D952"/>
  <c r="D927"/>
  <c r="D948"/>
  <c r="D921"/>
  <c r="D909"/>
  <c r="D947"/>
  <c r="D866"/>
  <c r="D961"/>
  <c r="D857"/>
  <c r="D1538"/>
  <c r="D966"/>
  <c r="D899"/>
  <c r="D908"/>
  <c r="D867"/>
  <c r="D1072"/>
  <c r="D864"/>
  <c r="D910"/>
  <c r="D938"/>
  <c r="D984"/>
  <c r="D981"/>
  <c r="D874"/>
  <c r="D913"/>
  <c r="D968"/>
  <c r="D930"/>
  <c r="D922"/>
  <c r="D568"/>
  <c r="D936"/>
  <c r="D915"/>
  <c r="D722"/>
  <c r="D826"/>
  <c r="D636"/>
  <c r="D677"/>
  <c r="D823"/>
  <c r="D979"/>
  <c r="D883"/>
  <c r="D931"/>
  <c r="D876"/>
  <c r="D884"/>
  <c r="D924"/>
  <c r="D982"/>
  <c r="D819"/>
  <c r="D993"/>
  <c r="D846"/>
  <c r="D861"/>
  <c r="D836"/>
  <c r="D898"/>
  <c r="D842"/>
  <c r="D851"/>
  <c r="D850"/>
  <c r="D958"/>
  <c r="D828"/>
  <c r="D862"/>
  <c r="D902"/>
  <c r="D878"/>
  <c r="D890"/>
  <c r="D875"/>
  <c r="D907"/>
  <c r="D929"/>
  <c r="D944"/>
  <c r="D889"/>
  <c r="D882"/>
  <c r="D903"/>
  <c r="D872"/>
  <c r="D911"/>
  <c r="D863"/>
  <c r="D881"/>
  <c r="D892"/>
  <c r="D956"/>
  <c r="D900"/>
  <c r="D791"/>
  <c r="D887"/>
  <c r="D869"/>
  <c r="D794"/>
  <c r="D926"/>
  <c r="D796"/>
  <c r="D805"/>
  <c r="D859"/>
  <c r="D858"/>
  <c r="D964"/>
  <c r="D822"/>
  <c r="D808"/>
  <c r="D843"/>
  <c r="D897"/>
  <c r="D811"/>
  <c r="D847"/>
  <c r="D895"/>
  <c r="D825"/>
  <c r="D834"/>
  <c r="D865"/>
  <c r="D906"/>
  <c r="D894"/>
  <c r="D849"/>
  <c r="D838"/>
  <c r="D672"/>
  <c r="D804"/>
  <c r="D896"/>
  <c r="D770"/>
  <c r="D873"/>
  <c r="D844"/>
  <c r="D801"/>
  <c r="D778"/>
  <c r="D773"/>
  <c r="D809"/>
  <c r="D860"/>
  <c r="D1013"/>
  <c r="D800"/>
  <c r="D975"/>
  <c r="D829"/>
  <c r="D877"/>
  <c r="D853"/>
  <c r="D817"/>
  <c r="D917"/>
  <c r="D855"/>
  <c r="D654"/>
  <c r="D832"/>
  <c r="D815"/>
  <c r="D792"/>
  <c r="D675"/>
  <c r="D810"/>
  <c r="D750"/>
  <c r="D802"/>
  <c r="D781"/>
  <c r="D845"/>
  <c r="D678"/>
  <c r="D854"/>
  <c r="D848"/>
  <c r="D803"/>
  <c r="D730"/>
  <c r="D852"/>
  <c r="D742"/>
  <c r="D837"/>
  <c r="D886"/>
  <c r="D633"/>
  <c r="D830"/>
  <c r="D820"/>
  <c r="D821"/>
  <c r="D793"/>
  <c r="D799"/>
  <c r="D757"/>
  <c r="D870"/>
  <c r="D833"/>
  <c r="D762"/>
  <c r="D788"/>
  <c r="D784"/>
  <c r="D835"/>
  <c r="D547"/>
  <c r="D771"/>
  <c r="D612"/>
  <c r="D774"/>
  <c r="D725"/>
  <c r="D746"/>
  <c r="D466"/>
  <c r="D749"/>
  <c r="D775"/>
  <c r="D760"/>
  <c r="D856"/>
  <c r="D751"/>
  <c r="D685"/>
  <c r="D818"/>
  <c r="D604"/>
  <c r="D759"/>
  <c r="D690"/>
  <c r="D693"/>
  <c r="D786"/>
  <c r="D782"/>
  <c r="D789"/>
  <c r="D814"/>
  <c r="D692"/>
  <c r="D699"/>
  <c r="D765"/>
  <c r="D704"/>
  <c r="D831"/>
  <c r="D632"/>
  <c r="D711"/>
  <c r="D726"/>
  <c r="D779"/>
  <c r="D795"/>
  <c r="D767"/>
  <c r="D780"/>
  <c r="D718"/>
  <c r="D807"/>
  <c r="D747"/>
  <c r="D761"/>
  <c r="D840"/>
  <c r="D714"/>
  <c r="D754"/>
  <c r="D744"/>
  <c r="D723"/>
  <c r="D827"/>
  <c r="D733"/>
  <c r="D736"/>
  <c r="D745"/>
  <c r="D764"/>
  <c r="D642"/>
  <c r="D785"/>
  <c r="D703"/>
  <c r="D706"/>
  <c r="D716"/>
  <c r="D720"/>
  <c r="D436"/>
  <c r="D707"/>
  <c r="D768"/>
  <c r="D813"/>
  <c r="D708"/>
  <c r="D787"/>
  <c r="D753"/>
  <c r="D729"/>
  <c r="D728"/>
  <c r="D790"/>
  <c r="D715"/>
  <c r="D695"/>
  <c r="D731"/>
  <c r="D719"/>
  <c r="D758"/>
  <c r="D682"/>
  <c r="D639"/>
  <c r="D712"/>
  <c r="D755"/>
  <c r="D743"/>
  <c r="D709"/>
  <c r="D717"/>
  <c r="D738"/>
  <c r="D735"/>
  <c r="D623"/>
  <c r="D766"/>
  <c r="D721"/>
  <c r="D748"/>
  <c r="D631"/>
  <c r="D797"/>
  <c r="D951"/>
  <c r="D737"/>
  <c r="D710"/>
  <c r="D806"/>
  <c r="D520"/>
  <c r="D511"/>
  <c r="D598"/>
  <c r="D698"/>
  <c r="D772"/>
  <c r="D713"/>
  <c r="D684"/>
  <c r="D601"/>
  <c r="D660"/>
  <c r="D732"/>
  <c r="D659"/>
  <c r="D734"/>
  <c r="D727"/>
  <c r="D583"/>
  <c r="D673"/>
  <c r="D668"/>
  <c r="D655"/>
  <c r="D670"/>
  <c r="D686"/>
  <c r="D700"/>
  <c r="D608"/>
  <c r="D619"/>
  <c r="D596"/>
  <c r="D777"/>
  <c r="D696"/>
  <c r="D665"/>
  <c r="D653"/>
  <c r="D756"/>
  <c r="D587"/>
  <c r="D553"/>
  <c r="D394"/>
  <c r="D679"/>
  <c r="D691"/>
  <c r="D701"/>
  <c r="D741"/>
  <c r="D645"/>
  <c r="D694"/>
  <c r="D724"/>
  <c r="D651"/>
  <c r="D622"/>
  <c r="D705"/>
  <c r="D681"/>
  <c r="D572"/>
  <c r="D641"/>
  <c r="D606"/>
  <c r="D776"/>
  <c r="D650"/>
  <c r="D661"/>
  <c r="D657"/>
  <c r="D680"/>
  <c r="D683"/>
  <c r="D629"/>
  <c r="D617"/>
  <c r="D618"/>
  <c r="D666"/>
  <c r="D697"/>
  <c r="D658"/>
  <c r="D689"/>
  <c r="D648"/>
  <c r="D551"/>
  <c r="D667"/>
  <c r="D594"/>
  <c r="D671"/>
  <c r="D663"/>
  <c r="D600"/>
  <c r="D628"/>
  <c r="D564"/>
  <c r="D674"/>
  <c r="D621"/>
  <c r="D613"/>
  <c r="D638"/>
  <c r="D593"/>
  <c r="D592"/>
  <c r="D496"/>
  <c r="D615"/>
  <c r="D635"/>
  <c r="D669"/>
  <c r="D626"/>
  <c r="D752"/>
  <c r="D539"/>
  <c r="D575"/>
  <c r="D644"/>
  <c r="D602"/>
  <c r="D656"/>
  <c r="D643"/>
  <c r="D616"/>
  <c r="D605"/>
  <c r="D647"/>
  <c r="D627"/>
  <c r="D688"/>
  <c r="D640"/>
  <c r="D702"/>
  <c r="D630"/>
  <c r="D637"/>
  <c r="D609"/>
  <c r="D477"/>
  <c r="D620"/>
  <c r="D603"/>
  <c r="D574"/>
  <c r="D634"/>
  <c r="D546"/>
  <c r="D687"/>
  <c r="D646"/>
  <c r="D599"/>
  <c r="D548"/>
  <c r="D585"/>
  <c r="D503"/>
  <c r="D557"/>
  <c r="D485"/>
  <c r="D597"/>
  <c r="D625"/>
  <c r="D591"/>
  <c r="D610"/>
  <c r="D541"/>
  <c r="D528"/>
  <c r="D573"/>
  <c r="D487"/>
  <c r="D577"/>
  <c r="D569"/>
  <c r="D315"/>
  <c r="D624"/>
  <c r="D450"/>
  <c r="D607"/>
  <c r="D664"/>
  <c r="D532"/>
  <c r="D554"/>
  <c r="D550"/>
  <c r="D571"/>
  <c r="D561"/>
  <c r="D676"/>
  <c r="D562"/>
  <c r="D490"/>
  <c r="D595"/>
  <c r="D560"/>
  <c r="D493"/>
  <c r="D584"/>
  <c r="D576"/>
  <c r="D588"/>
  <c r="D566"/>
  <c r="D533"/>
  <c r="D578"/>
  <c r="D420"/>
  <c r="D508"/>
  <c r="D556"/>
  <c r="D514"/>
  <c r="D559"/>
  <c r="D611"/>
  <c r="D567"/>
  <c r="D582"/>
  <c r="D537"/>
  <c r="D506"/>
  <c r="D502"/>
  <c r="D558"/>
  <c r="D579"/>
  <c r="D581"/>
  <c r="D614"/>
  <c r="D458"/>
  <c r="D524"/>
  <c r="D538"/>
  <c r="D549"/>
  <c r="D590"/>
  <c r="D536"/>
  <c r="D407"/>
  <c r="D527"/>
  <c r="D521"/>
  <c r="D498"/>
  <c r="D509"/>
  <c r="D525"/>
  <c r="D552"/>
  <c r="D335"/>
  <c r="D494"/>
  <c r="D519"/>
  <c r="D662"/>
  <c r="D565"/>
  <c r="D515"/>
  <c r="D461"/>
  <c r="D429"/>
  <c r="D409"/>
  <c r="D495"/>
  <c r="D501"/>
  <c r="D444"/>
  <c r="D523"/>
  <c r="D507"/>
  <c r="D586"/>
  <c r="D540"/>
  <c r="D526"/>
  <c r="D512"/>
  <c r="D505"/>
  <c r="D476"/>
  <c r="D544"/>
  <c r="D415"/>
  <c r="D740"/>
  <c r="D545"/>
  <c r="D529"/>
  <c r="D451"/>
  <c r="D513"/>
  <c r="D531"/>
  <c r="D570"/>
  <c r="D504"/>
  <c r="D470"/>
  <c r="D516"/>
  <c r="D522"/>
  <c r="D542"/>
  <c r="D483"/>
  <c r="D497"/>
  <c r="D543"/>
  <c r="D492"/>
  <c r="D534"/>
  <c r="D486"/>
  <c r="D517"/>
  <c r="D482"/>
  <c r="D489"/>
  <c r="D251"/>
  <c r="D441"/>
  <c r="D462"/>
  <c r="D488"/>
  <c r="D499"/>
  <c r="D247"/>
  <c r="D555"/>
  <c r="D518"/>
  <c r="D535"/>
  <c r="D473"/>
  <c r="D449"/>
  <c r="D455"/>
  <c r="D563"/>
  <c r="D447"/>
  <c r="D437"/>
  <c r="D474"/>
  <c r="D419"/>
  <c r="D242"/>
  <c r="D478"/>
  <c r="D452"/>
  <c r="D580"/>
  <c r="D475"/>
  <c r="D530"/>
  <c r="D1552"/>
  <c r="D379"/>
  <c r="D463"/>
  <c r="D391"/>
  <c r="D500"/>
  <c r="D459"/>
  <c r="D454"/>
  <c r="D397"/>
  <c r="D410"/>
  <c r="D440"/>
  <c r="D439"/>
  <c r="D467"/>
  <c r="D465"/>
  <c r="D460"/>
  <c r="D421"/>
  <c r="D428"/>
  <c r="D442"/>
  <c r="D416"/>
  <c r="D480"/>
  <c r="D406"/>
  <c r="D434"/>
  <c r="D343"/>
  <c r="D277"/>
  <c r="D457"/>
  <c r="D430"/>
  <c r="D330"/>
  <c r="D395"/>
  <c r="D468"/>
  <c r="D491"/>
  <c r="D484"/>
  <c r="D414"/>
  <c r="D424"/>
  <c r="D412"/>
  <c r="D378"/>
  <c r="D438"/>
  <c r="D471"/>
  <c r="D301"/>
  <c r="D365"/>
  <c r="D357"/>
  <c r="D453"/>
  <c r="D340"/>
  <c r="D390"/>
  <c r="D446"/>
  <c r="D469"/>
  <c r="D448"/>
  <c r="D366"/>
  <c r="D376"/>
  <c r="D456"/>
  <c r="D402"/>
  <c r="D418"/>
  <c r="D316"/>
  <c r="D445"/>
  <c r="D368"/>
  <c r="D423"/>
  <c r="D426"/>
  <c r="D464"/>
  <c r="D427"/>
  <c r="D433"/>
  <c r="D214"/>
  <c r="D349"/>
  <c r="D422"/>
  <c r="D400"/>
  <c r="D413"/>
  <c r="D377"/>
  <c r="D381"/>
  <c r="D443"/>
  <c r="D362"/>
  <c r="D382"/>
  <c r="D350"/>
  <c r="D371"/>
  <c r="D481"/>
  <c r="D309"/>
  <c r="D386"/>
  <c r="D334"/>
  <c r="D392"/>
  <c r="D479"/>
  <c r="D401"/>
  <c r="D432"/>
  <c r="D337"/>
  <c r="D510"/>
  <c r="D352"/>
  <c r="D425"/>
  <c r="D408"/>
  <c r="D348"/>
  <c r="D358"/>
  <c r="D360"/>
  <c r="D267"/>
  <c r="D351"/>
  <c r="D405"/>
  <c r="D369"/>
  <c r="D431"/>
  <c r="D417"/>
  <c r="D388"/>
  <c r="D310"/>
  <c r="D355"/>
  <c r="D373"/>
  <c r="D435"/>
  <c r="D361"/>
  <c r="D411"/>
  <c r="D472"/>
  <c r="D304"/>
  <c r="D367"/>
  <c r="D269"/>
  <c r="D389"/>
  <c r="D346"/>
  <c r="D290"/>
  <c r="D321"/>
  <c r="D353"/>
  <c r="D380"/>
  <c r="D359"/>
  <c r="D387"/>
  <c r="D329"/>
  <c r="D230"/>
  <c r="D312"/>
  <c r="D399"/>
  <c r="D375"/>
  <c r="D385"/>
  <c r="D383"/>
  <c r="D307"/>
  <c r="D372"/>
  <c r="D363"/>
  <c r="D268"/>
  <c r="D317"/>
  <c r="D374"/>
  <c r="D259"/>
  <c r="D336"/>
  <c r="D320"/>
  <c r="D344"/>
  <c r="D393"/>
  <c r="D327"/>
  <c r="D1551"/>
  <c r="D398"/>
  <c r="D345"/>
  <c r="D338"/>
  <c r="D276"/>
  <c r="D292"/>
  <c r="D326"/>
  <c r="D284"/>
  <c r="D370"/>
  <c r="D235"/>
  <c r="D403"/>
  <c r="D342"/>
  <c r="D354"/>
  <c r="D270"/>
  <c r="D396"/>
  <c r="D299"/>
  <c r="D319"/>
  <c r="D296"/>
  <c r="D306"/>
  <c r="D305"/>
  <c r="D331"/>
  <c r="D341"/>
  <c r="D291"/>
  <c r="D303"/>
  <c r="D404"/>
  <c r="D302"/>
  <c r="D168"/>
  <c r="D244"/>
  <c r="D347"/>
  <c r="D249"/>
  <c r="D297"/>
  <c r="D324"/>
  <c r="D332"/>
  <c r="D282"/>
  <c r="D313"/>
  <c r="D339"/>
  <c r="D325"/>
  <c r="D198"/>
  <c r="D364"/>
  <c r="D271"/>
  <c r="D286"/>
  <c r="D294"/>
  <c r="D308"/>
  <c r="D287"/>
  <c r="D311"/>
  <c r="D295"/>
  <c r="D260"/>
  <c r="D322"/>
  <c r="D318"/>
  <c r="D281"/>
  <c r="D356"/>
  <c r="D328"/>
  <c r="D275"/>
  <c r="D221"/>
  <c r="D266"/>
  <c r="D158"/>
  <c r="D273"/>
  <c r="D258"/>
  <c r="D323"/>
  <c r="D293"/>
  <c r="D288"/>
  <c r="D298"/>
  <c r="D300"/>
  <c r="D264"/>
  <c r="D285"/>
  <c r="D246"/>
  <c r="D289"/>
  <c r="D263"/>
  <c r="D314"/>
  <c r="D232"/>
  <c r="D256"/>
  <c r="D248"/>
  <c r="D254"/>
  <c r="D255"/>
  <c r="D234"/>
  <c r="D257"/>
  <c r="D261"/>
  <c r="D252"/>
  <c r="D280"/>
  <c r="D239"/>
  <c r="D225"/>
  <c r="D262"/>
  <c r="D219"/>
  <c r="D253"/>
  <c r="D279"/>
  <c r="D245"/>
  <c r="D240"/>
  <c r="D278"/>
  <c r="D223"/>
  <c r="D384"/>
  <c r="D243"/>
  <c r="D226"/>
  <c r="D131"/>
  <c r="D241"/>
  <c r="D202"/>
  <c r="D265"/>
  <c r="D283"/>
  <c r="D272"/>
  <c r="D238"/>
  <c r="D274"/>
  <c r="D211"/>
  <c r="D176"/>
  <c r="D183"/>
  <c r="D228"/>
  <c r="D182"/>
  <c r="D250"/>
  <c r="D231"/>
  <c r="D220"/>
  <c r="D213"/>
  <c r="D224"/>
  <c r="D205"/>
  <c r="D227"/>
  <c r="D229"/>
  <c r="D236"/>
  <c r="D172"/>
  <c r="D216"/>
  <c r="D233"/>
  <c r="D237"/>
  <c r="D217"/>
  <c r="D165"/>
  <c r="D195"/>
  <c r="D203"/>
  <c r="D193"/>
  <c r="D185"/>
  <c r="D201"/>
  <c r="D222"/>
  <c r="D189"/>
  <c r="D152"/>
  <c r="D109"/>
  <c r="D200"/>
  <c r="D181"/>
  <c r="D218"/>
  <c r="D191"/>
  <c r="D209"/>
  <c r="D167"/>
  <c r="D206"/>
  <c r="D105"/>
  <c r="D129"/>
  <c r="D187"/>
  <c r="D171"/>
  <c r="D188"/>
  <c r="D196"/>
  <c r="D194"/>
  <c r="D199"/>
  <c r="D170"/>
  <c r="D204"/>
  <c r="D215"/>
  <c r="D190"/>
  <c r="D192"/>
  <c r="D136"/>
  <c r="D179"/>
  <c r="D212"/>
  <c r="D197"/>
  <c r="D139"/>
  <c r="D175"/>
  <c r="D186"/>
  <c r="D157"/>
  <c r="D97"/>
  <c r="D127"/>
  <c r="D208"/>
  <c r="D184"/>
  <c r="D178"/>
  <c r="D169"/>
  <c r="D173"/>
  <c r="D128"/>
  <c r="D115"/>
  <c r="D210"/>
  <c r="D207"/>
  <c r="D174"/>
  <c r="D156"/>
  <c r="D177"/>
  <c r="D163"/>
  <c r="D180"/>
  <c r="D122"/>
  <c r="D147"/>
  <c r="D137"/>
  <c r="D141"/>
  <c r="D166"/>
  <c r="D151"/>
  <c r="D119"/>
  <c r="D155"/>
  <c r="D161"/>
  <c r="D154"/>
  <c r="D149"/>
  <c r="D71"/>
  <c r="D164"/>
  <c r="D143"/>
  <c r="D138"/>
  <c r="D102"/>
  <c r="D135"/>
  <c r="D150"/>
  <c r="D162"/>
  <c r="D113"/>
  <c r="D146"/>
  <c r="D160"/>
  <c r="D118"/>
  <c r="D132"/>
  <c r="D140"/>
  <c r="D130"/>
  <c r="D144"/>
  <c r="D159"/>
  <c r="D133"/>
  <c r="D121"/>
  <c r="D62"/>
  <c r="D123"/>
  <c r="D63"/>
  <c r="D148"/>
  <c r="D153"/>
  <c r="D134"/>
  <c r="D142"/>
  <c r="D124"/>
  <c r="D96"/>
  <c r="D111"/>
  <c r="D126"/>
  <c r="D125"/>
  <c r="D114"/>
  <c r="D98"/>
  <c r="D120"/>
  <c r="D65"/>
  <c r="D116"/>
  <c r="D91"/>
  <c r="D103"/>
  <c r="D86"/>
  <c r="D70"/>
  <c r="D117"/>
  <c r="D110"/>
  <c r="D100"/>
  <c r="D80"/>
  <c r="D108"/>
  <c r="D90"/>
  <c r="D104"/>
  <c r="D106"/>
  <c r="D145"/>
  <c r="D107"/>
  <c r="D95"/>
  <c r="D94"/>
  <c r="D93"/>
  <c r="D112"/>
  <c r="D101"/>
  <c r="D58"/>
  <c r="D99"/>
  <c r="D47"/>
  <c r="D75"/>
  <c r="D40"/>
  <c r="D85"/>
  <c r="D74"/>
  <c r="D81"/>
  <c r="D77"/>
  <c r="D88"/>
  <c r="D84"/>
  <c r="D76"/>
  <c r="D43"/>
  <c r="D78"/>
  <c r="D92"/>
  <c r="D89"/>
  <c r="D61"/>
  <c r="D83"/>
  <c r="D79"/>
  <c r="D82"/>
  <c r="D56"/>
  <c r="D46"/>
  <c r="D66"/>
  <c r="D69"/>
  <c r="D67"/>
  <c r="D72"/>
  <c r="D51"/>
  <c r="D60"/>
  <c r="D87"/>
  <c r="D68"/>
  <c r="D59"/>
  <c r="D53"/>
  <c r="D73"/>
  <c r="D45"/>
  <c r="D64"/>
  <c r="D36"/>
  <c r="D55"/>
  <c r="D30"/>
  <c r="D42"/>
  <c r="D44"/>
  <c r="D54"/>
  <c r="D57"/>
  <c r="D38"/>
  <c r="D49"/>
  <c r="D41"/>
  <c r="D52"/>
  <c r="D33"/>
  <c r="D25"/>
  <c r="D35"/>
  <c r="D50"/>
  <c r="D34"/>
  <c r="D39"/>
  <c r="D27"/>
  <c r="D31"/>
  <c r="D29"/>
  <c r="D32"/>
  <c r="D37"/>
  <c r="D20"/>
  <c r="D48"/>
  <c r="D22"/>
  <c r="D24"/>
  <c r="D26"/>
  <c r="D28"/>
  <c r="D23"/>
  <c r="D21"/>
  <c r="D18"/>
  <c r="D17"/>
  <c r="D11"/>
  <c r="D12"/>
  <c r="D10"/>
  <c r="D14"/>
  <c r="D19"/>
  <c r="D13"/>
  <c r="D16"/>
  <c r="D15"/>
  <c r="D9"/>
  <c r="D8"/>
  <c r="D7"/>
  <c r="D6"/>
  <c r="D5"/>
  <c r="D4"/>
  <c r="D2"/>
  <c r="A2" i="1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J46" i="8" l="1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B229" i="13"/>
  <c r="A229"/>
  <c r="B460"/>
  <c r="A460"/>
  <c r="B672"/>
  <c r="A672"/>
  <c r="B622"/>
  <c r="A622"/>
  <c r="B403"/>
  <c r="A403"/>
  <c r="B670"/>
  <c r="A670"/>
  <c r="B606"/>
  <c r="A606"/>
  <c r="B537"/>
  <c r="A537"/>
  <c r="B168"/>
  <c r="A168"/>
  <c r="B339"/>
  <c r="A339"/>
  <c r="B435"/>
  <c r="A435"/>
  <c r="B412"/>
  <c r="A412"/>
  <c r="B579"/>
  <c r="A579"/>
  <c r="B322"/>
  <c r="A322"/>
  <c r="B35"/>
  <c r="A35"/>
  <c r="B663"/>
  <c r="A663"/>
  <c r="B512"/>
  <c r="A512"/>
  <c r="B85"/>
  <c r="A85"/>
  <c r="B352"/>
  <c r="A352"/>
  <c r="B498"/>
  <c r="A498"/>
  <c r="B456"/>
  <c r="A456"/>
  <c r="B425"/>
  <c r="A425"/>
  <c r="B293"/>
  <c r="A293"/>
  <c r="B594"/>
  <c r="A594"/>
  <c r="B75"/>
  <c r="A75"/>
  <c r="B371"/>
  <c r="A371"/>
  <c r="B56"/>
  <c r="A56"/>
  <c r="B611"/>
  <c r="A611"/>
  <c r="B600"/>
  <c r="A600"/>
  <c r="B72"/>
  <c r="A72"/>
  <c r="B356"/>
  <c r="A356"/>
  <c r="B119"/>
  <c r="A119"/>
  <c r="B299"/>
  <c r="A299"/>
  <c r="B644"/>
  <c r="A644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J68" i="8" l="1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B5531" i="13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B5338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680"/>
  <c r="A680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C2" s="1"/>
  <c r="C3" s="1"/>
  <c r="C4" s="1"/>
  <c r="C5" s="1"/>
  <c r="C6" s="1"/>
  <c r="C7" s="1"/>
  <c r="F1"/>
  <c r="E1"/>
  <c r="L59" i="8" l="1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4"/>
  <c r="V35" s="1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L54" i="8" l="1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R33" l="1"/>
  <c r="U33"/>
  <c r="V33"/>
  <c r="Q33"/>
  <c r="S33"/>
  <c r="T33"/>
  <c r="P33"/>
  <c r="X25"/>
  <c r="W28"/>
  <c r="W25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background="1" saveData="1">
    <webPr sourceData="1" parsePre="1" consecutive="1" xl2000="1" url="http://justdata.yuanta.com.tw/z/zc/zcp/zcpa/zcpa_1235.asp.htm" htmlTables="1"/>
  </connection>
  <connection id="4" name="連線1024" type="4" refreshedVersion="0" background="1">
    <webPr url="http://www.emega.com.tw/z/zc/zch/zch_2108.djhtm" htmlTables="1" htmlFormat="all"/>
  </connection>
  <connection id="5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6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7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9" name="連線1152" type="4" refreshedVersion="0" background="1">
    <webPr url="http://tw.stock.yahoo.com/q/q?s=8341" htmlTables="1" htmlFormat="all"/>
  </connection>
  <connection id="10" name="連線119" type="4" refreshedVersion="0" background="1">
    <webPr url="http://justdata.yuanta.com.tw/z/zc/zcq/zcq_2637.asp.htm" htmlTables="1" htmlFormat="all"/>
  </connection>
  <connection id="11" name="連線12" type="4" refreshedVersion="5" background="1" saveData="1">
    <webPr sourceData="1" parsePre="1" consecutive="1" xl2000="1" url="http://justdata.yuanta.com.tw/z/zc/zcp/zcpa/zcpa_1323.asp.htm" htmlTables="1"/>
  </connection>
  <connection id="12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13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14" name="連線1389" type="4" refreshedVersion="0" background="1">
    <webPr url="http://www.emega.com.tw/z/zc/zcn/zcn.djhtm?a=6431&amp;b=4" htmlTables="1" htmlFormat="all"/>
  </connection>
  <connection id="15" name="連線14" type="4" refreshedVersion="0" background="1">
    <webPr url="http://www.cnyes.com/twstock/Technical/3587.htm" htmlTables="1" htmlFormat="all"/>
  </connection>
  <connection id="16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17" name="連線15" type="4" refreshedVersion="5" background="1" saveData="1">
    <webPr sourceData="1" parsePre="1" consecutive="1" xl2000="1" url="http://justdata.yuanta.com.tw/z/zc/zcp/zcpa/zcpa_1315.asp.htm" htmlTables="1"/>
  </connection>
  <connection id="1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19" name="連線1567" type="4" refreshedVersion="0" background="1">
    <webPr url="https://www.stockdog.com.tw/m/index.php?type=0&amp;sid=1109" htmlTables="1" htmlFormat="all"/>
  </connection>
  <connection id="20" name="連線16" type="4" refreshedVersion="0" background="1">
    <webPr url="http://www.cnyes.com/twstock/Technical/2313.htm" htmlTables="1" htmlFormat="all"/>
  </connection>
  <connection id="21" name="連線1623" type="4" refreshedVersion="5">
    <webPr sourceData="1" xl2000="1" url="http:jsjustweb.jihsun.com.tw/z/zc/zco/zco0/zco0.djhtm?a=5315&amp;b=6480" htmlTables="1"/>
  </connection>
  <connection id="22" name="連線1624" type="4" refreshedVersion="5">
    <webPr sourceData="1" xl2000="1" url="http:jsjustweb.jihsun.com.tw/z/zc/zco/zco0/zco0.djhtm?a=1570&amp;b=6480" htmlTables="1"/>
  </connection>
  <connection id="23" name="連線1625" type="4" refreshedVersion="5">
    <webPr sourceData="1" xl2000="1" url="http:jsjustweb.jihsun.com.tw/z/zc/zco/zco0/zco0.djhtm?a=5315&amp;b=6480" htmlTables="1"/>
  </connection>
  <connection id="24" name="連線1626" type="4" refreshedVersion="5">
    <webPr sourceData="1" xl2000="1" url="http:jsjustweb.jihsun.com.tw/z/zc/zco/zco0/zco0.djhtm?a=3511&amp;b=6480" htmlTables="1"/>
  </connection>
  <connection id="25" name="連線1627" type="4" refreshedVersion="5">
    <webPr sourceData="1" xl2000="1" url="http:jsjustweb.jihsun.com.tw/z/zc/zco/zco0/zco0.djhtm?a=1442&amp;b=6480" htmlTables="1"/>
  </connection>
  <connection id="26" name="連線1628" type="4" refreshedVersion="5">
    <webPr sourceData="1" xl2000="1" url="http:jsjustweb.jihsun.com.tw/z/zc/zco/zco0/zco0.djhtm?a=1471&amp;b=6480" htmlTables="1"/>
  </connection>
  <connection id="27" name="連線1629" type="4" refreshedVersion="5">
    <webPr sourceData="1" xl2000="1" url="http:jsjustweb.jihsun.com.tw/z/zc/zco/zco0/zco0.djhtm?a=4722&amp;b=6480" htmlTables="1"/>
  </connection>
  <connection id="28" name="連線1630" type="4" refreshedVersion="5">
    <webPr sourceData="1" xl2000="1" url="http:jsjustweb.jihsun.com.tw/z/zc/zco/zco0/zco0.djhtm?a=8433&amp;b=6480" htmlTables="1"/>
  </connection>
  <connection id="29" name="連線1631" type="4" refreshedVersion="5">
    <webPr sourceData="1" xl2000="1" url="http:jsjustweb.jihsun.com.tw/z/zc/zco/zco0/zco0.djhtm?a=6220&amp;b=6480" htmlTables="1"/>
  </connection>
  <connection id="30" name="連線1632" type="4" refreshedVersion="5">
    <webPr sourceData="1" xl2000="1" url="http:jsjustweb.jihsun.com.tw/z/zc/zco/zco0/zco0.djhtm?a=3038&amp;b=6480" htmlTables="1"/>
  </connection>
  <connection id="31" name="連線1633" type="4" refreshedVersion="5">
    <webPr sourceData="1" xl2000="1" url="http:jsjustweb.jihsun.com.tw/z/zc/zco/zco0/zco0.djhtm?a=1541&amp;b=6480" htmlTables="1"/>
  </connection>
  <connection id="32" name="連線1634" type="4" refreshedVersion="5">
    <webPr sourceData="1" xl2000="1" url="http:jsjustweb.jihsun.com.tw/z/zc/zco/zco0/zco0.djhtm?a=9924&amp;b=6480" htmlTables="1"/>
  </connection>
  <connection id="33" name="連線1635" type="4" refreshedVersion="5">
    <webPr sourceData="1" xl2000="1" url="http:jsjustweb.jihsun.com.tw/z/zc/zco/zco0/zco0.djhtm?a=9934&amp;b=6480" htmlTables="1"/>
  </connection>
  <connection id="34" name="連線1636" type="4" refreshedVersion="0" background="1">
    <webPr url="http://justdata.yuanta.com.tw/z/zc/zcq/zcq_.asp.htm" htmlTables="1" htmlFormat="all"/>
  </connection>
  <connection id="35" name="連線1637" type="4" refreshedVersion="5">
    <webPr sourceData="1" xl2000="1" url="http:jsjustweb.jihsun.com.tw/z/zc/zco/zco0/zco0.djhtm?a=2634&amp;b=6480" htmlTables="1"/>
  </connection>
  <connection id="36" name="連線1638" type="4" refreshedVersion="5">
    <webPr sourceData="1" xl2000="1" url="http:jsjustweb.jihsun.com.tw/z/zc/zco/zco0/zco0.djhtm?a=8222&amp;b=6480" htmlTables="1"/>
  </connection>
  <connection id="37" name="連線1639" type="4" refreshedVersion="5">
    <webPr sourceData="1" xl2000="1" url="http:jsjustweb.jihsun.com.tw/z/zc/zco/zco0/zco0.djhtm?a=4541&amp;b=6480" htmlTables="1"/>
  </connection>
  <connection id="38" name="連線1640" type="4" refreshedVersion="5">
    <webPr sourceData="1" xl2000="1" url="http:jsjustweb.jihsun.com.tw/z/zc/zco/zco0/zco0.djhtm?a=3004&amp;b=6480" htmlTables="1"/>
  </connection>
  <connection id="39" name="連線1641" type="4" refreshedVersion="5">
    <webPr sourceData="1" xl2000="1" url="http:jsjustweb.jihsun.com.tw/z/zc/zco/zco0/zco0.djhtm?a=2455&amp;b=6480" htmlTables="1"/>
  </connection>
  <connection id="40" name="連線1642" type="4" refreshedVersion="5">
    <webPr sourceData="1" xl2000="1" url="http:jsjustweb.jihsun.com.tw/z/zc/zco/zco0/zco0.djhtm?a=3105&amp;b=6480" htmlTables="1"/>
  </connection>
  <connection id="41" name="連線1643" type="4" refreshedVersion="5">
    <webPr sourceData="1" xl2000="1" url="http:jsjustweb.jihsun.com.tw/z/zc/zco/zco0/zco0.djhtm?a=6205&amp;b=6480" htmlTables="1"/>
  </connection>
  <connection id="42" name="連線1644" type="4" refreshedVersion="5">
    <webPr sourceData="1" xl2000="1" url="http:jsjustweb.jihsun.com.tw/z/zc/zco/zco0/zco0.djhtm?a=4401&amp;b=6480" htmlTables="1"/>
  </connection>
  <connection id="43" name="連線1645" type="4" refreshedVersion="5">
    <webPr sourceData="1" xl2000="1" url="http:jsjustweb.jihsun.com.tw/z/zc/zco/zco0/zco0.djhtm?a=1471&amp;b=6480" htmlTables="1"/>
  </connection>
  <connection id="44" name="連線1646" type="4" refreshedVersion="5">
    <webPr sourceData="1" xl2000="1" url="http:jsjustweb.jihsun.com.tw/z/zc/zco/zco0/zco0.djhtm?a=1442&amp;b=6480" htmlTables="1"/>
  </connection>
  <connection id="45" name="連線1647" type="4" refreshedVersion="5">
    <webPr sourceData="1" xl2000="1" url="http:jsjustweb.jihsun.com.tw/z/zc/zco/zco0/zco0.djhtm?a=5245&amp;b=6480" htmlTables="1"/>
  </connection>
  <connection id="46" name="連線1648" type="4" refreshedVersion="5">
    <webPr sourceData="1" xl2000="1" url="http:jsjustweb.jihsun.com.tw/z/zc/zco/zco0/zco0.djhtm?a=8042&amp;b=6480" htmlTables="1"/>
  </connection>
  <connection id="47" name="連線1649" type="4" refreshedVersion="5">
    <webPr sourceData="1" xl2000="1" url="http:jsjustweb.jihsun.com.tw/z/zc/zco/zco0/zco0.djhtm?a=2437&amp;b=6480" htmlTables="1"/>
  </connection>
  <connection id="48" name="連線1650" type="4" refreshedVersion="5">
    <webPr sourceData="1" xl2000="1" url="http:jsjustweb.jihsun.com.tw/z/zc/zco/zco0/zco0.djhtm?a=8255&amp;b=6480" htmlTables="1"/>
  </connection>
  <connection id="49" name="連線1651" type="4" refreshedVersion="5">
    <webPr sourceData="1" xl2000="1" url="http:jsjustweb.jihsun.com.tw/z/zc/zco/zco0/zco0.djhtm?a=6277&amp;b=6480" htmlTables="1"/>
  </connection>
  <connection id="50" name="連線1652" type="4" refreshedVersion="5">
    <webPr sourceData="1" xl2000="1" url="http:jsjustweb.jihsun.com.tw/z/zc/zco/zco0/zco0.djhtm?a=8050&amp;b=6480" htmlTables="1"/>
  </connection>
  <connection id="51" name="連線17" type="4" refreshedVersion="5" background="1" saveData="1">
    <webPr sourceData="1" parsePre="1" consecutive="1" xl2000="1" url="http://justdata.yuanta.com.tw/z/zc/zcp/zcpa/zcpa_1321.asp.htm" htmlTables="1"/>
  </connection>
  <connection id="52" name="連線170" type="4" refreshedVersion="5" background="1" saveData="1">
    <webPr sourceData="1" parsePre="1" consecutive="1" xl2000="1" url="http://mops.twse.com.tw/nas/t21/sii/t21sc03_104_10_0.html" htmlTables="1"/>
  </connection>
  <connection id="53" name="連線171" type="4" refreshedVersion="5" background="1" saveData="1">
    <webPr sourceData="1" parsePre="1" consecutive="1" xl2000="1" url="http://mops.twse.com.tw/nas/t21/otc/t21sc03_104_10_0.html" htmlTables="1"/>
  </connection>
  <connection id="54" name="連線172" type="4" refreshedVersion="5" background="1" saveData="1">
    <webPr sourceData="1" parsePre="1" consecutive="1" xl2000="1" url="http://justdata.yuanta.com.tw/z/zc/zcq/zcq_2455.asp.htm" htmlTables="1"/>
  </connection>
  <connection id="55" name="連線1723" type="4" refreshedVersion="0" background="1">
    <webPr url="http://justdata.yuanta.com.tw/z/zc/zcq/zcq_8039.asp.htm" htmlTables="1" htmlFormat="all"/>
  </connection>
  <connection id="56" name="連線1724" type="4" refreshedVersion="0" background="1">
    <webPr url="http://justdata.yuanta.com.tw/z/zc/zcq/zcq_2231.asp.htm" htmlTables="1" htmlFormat="all"/>
  </connection>
  <connection id="57" name="連線1728" type="4" refreshedVersion="5" background="1" saveData="1">
    <webPr sourceData="1" parsePre="1" consecutive="1" xl2000="1" url="http://mops.twse.com.tw/nas/t21/sii/t21sc03_104_10_0.html" htmlTables="1"/>
  </connection>
  <connection id="58" name="連線1729" type="4" refreshedVersion="5" background="1" saveData="1">
    <webPr sourceData="1" parsePre="1" consecutive="1" xl2000="1" url="http://mops.twse.com.tw/nas/t21/otc/t21sc03_104_10_0.html" htmlTables="1"/>
  </connection>
  <connection id="59" name="連線173" type="4" refreshedVersion="5" background="1" saveData="1">
    <webPr sourceData="1" parsePre="1" consecutive="1" xl2000="1" url="http://justdata.yuanta.com.tw/z/zc/zcp/zcpa/zcpa_2455.asp.htm" htmlTables="1"/>
  </connection>
  <connection id="60" name="連線1730" type="4" refreshedVersion="5" background="1" saveData="1">
    <webPr sourceData="1" parsePre="1" consecutive="1" xl2000="1" url="http://mops.twse.com.tw/nas/t21/sii/t21sc03_104_10_0.html" htmlTables="1"/>
  </connection>
  <connection id="61" name="連線1731" type="4" refreshedVersion="5" background="1" saveData="1">
    <webPr sourceData="1" parsePre="1" consecutive="1" xl2000="1" url="http://mops.twse.com.tw/nas/t21/otc/t21sc03_104_10_0.html" htmlTables="1"/>
  </connection>
  <connection id="62" name="連線1732" type="4" refreshedVersion="5" background="1" saveData="1">
    <webPr sourceData="1" parsePre="1" consecutive="1" xl2000="1" url="http://mops.twse.com.tw/nas/t21/sii/t21sc03_104_10_0.html" htmlTables="1"/>
  </connection>
  <connection id="63" name="連線1733" type="4" refreshedVersion="5" background="1" saveData="1">
    <webPr sourceData="1" parsePre="1" consecutive="1" xl2000="1" url="http://mops.twse.com.tw/nas/t21/otc/t21sc03_104_10_0.html" htmlTables="1"/>
  </connection>
  <connection id="64" name="連線1734" type="4" refreshedVersion="0" background="1">
    <webPr url="http://justdata.yuanta.com.tw/z/zc/zcp/zcpa/zcpa_6213.asp.htm" htmlTables="1" htmlFormat="all"/>
  </connection>
  <connection id="65" name="連線174" type="4" refreshedVersion="5" background="1" saveData="1">
    <webPr sourceData="1" parsePre="1" consecutive="1" xl2000="1" url="http://justdata.yuanta.com.tw/z/zc/zc3/zc3_2455.asp.htm" htmlTables="1"/>
  </connection>
  <connection id="66" name="連線1749" type="4" refreshedVersion="0" background="1">
    <webPr url="http://justdata.yuanta.com.tw/z/zc/zcq/zcq_2489.asp.htm" htmlTables="1" htmlFormat="all"/>
  </connection>
  <connection id="67" name="連線175" type="4" refreshedVersion="5" background="1" saveData="1">
    <webPr sourceData="1" parsePre="1" consecutive="1" xl2000="1" url="http://justdata.yuanta.com.tw/z/zc/zcq/zcq_8086.asp.htm" htmlTables="1"/>
  </connection>
  <connection id="68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69" name="連線176" type="4" refreshedVersion="5" background="1" saveData="1">
    <webPr sourceData="1" parsePre="1" consecutive="1" xl2000="1" url="http://justdata.yuanta.com.tw/z/zc/zcp/zcpa/zcpa_8086.asp.htm" htmlTables="1"/>
  </connection>
  <connection id="70" name="連線177" type="4" refreshedVersion="5" background="1" saveData="1">
    <webPr sourceData="1" parsePre="1" consecutive="1" xl2000="1" url="http://justdata.yuanta.com.tw/z/zc/zc3/zc3_8086.asp.htm" htmlTables="1"/>
  </connection>
  <connection id="71" name="連線178" type="4" refreshedVersion="5" background="1" saveData="1">
    <webPr sourceData="1" parsePre="1" consecutive="1" xl2000="1" url="http://justdata.yuanta.com.tw/z/zc/zcq/zcq_3105.asp.htm" htmlTables="1"/>
  </connection>
  <connection id="72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73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74" name="連線179" type="4" refreshedVersion="5" background="1" saveData="1">
    <webPr sourceData="1" parsePre="1" consecutive="1" xl2000="1" url="http://justdata.yuanta.com.tw/z/zc/zcp/zcpa/zcpa_3105.asp.htm" htmlTables="1"/>
  </connection>
  <connection id="75" name="連線1799" type="4" refreshedVersion="0" background="1">
    <webPr url="http://justdata.yuanta.com.tw/z/zc/zcq/zcq_1452.asp.htm" htmlTables="1" htmlFormat="all"/>
  </connection>
  <connection id="76" name="連線18" type="4" refreshedVersion="5" background="1" saveData="1">
    <webPr sourceData="1" parsePre="1" consecutive="1" xl2000="1" url="http://justdata.yuanta.com.tw/z/zc/zcp/zcpa/zcpa_1305.asp.htm" htmlTables="1"/>
  </connection>
  <connection id="77" name="連線180" type="4" refreshedVersion="5" background="1" saveData="1">
    <webPr sourceData="1" parsePre="1" consecutive="1" xl2000="1" url="http://justdata.yuanta.com.tw/z/zc/zc3/zc3_3105.asp.htm" htmlTables="1"/>
  </connection>
  <connection id="78" name="連線184" type="4" refreshedVersion="0" background="1">
    <webPr url="http://www.cnyes.com/twstock/Technical/8928.htm" htmlTables="1" htmlFormat="all"/>
  </connection>
  <connection id="7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80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81" name="連線196" type="4" refreshedVersion="0" background="1">
    <webPr url="http://www.emega.com.tw/z/zc/zch/zch_6171.djhtm" htmlTables="1" htmlFormat="all"/>
  </connection>
  <connection id="82" name="連線1966" type="4" refreshedVersion="0" background="1">
    <webPr url="http://www.emega.com.tw/z/zc/zch/zch_1521.djhtm" htmlTables="1" htmlFormat="all"/>
  </connection>
  <connection id="83" name="連線2" type="4" refreshedVersion="0" background="1">
    <webPr url="http://justdata.yuanta.com.tw/z/zc/zcq/zcq_5457.asp.htm" htmlTables="1" htmlFormat="all"/>
  </connection>
  <connection id="84" name="連線20" type="4" refreshedVersion="0" background="1">
    <webPr url="http://www.emega.com.tw/z/zc/zch/zch_1409.djhtm" htmlTables="1" htmlFormat="all"/>
  </connection>
  <connection id="85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86" name="連線21" type="4" refreshedVersion="5" background="1" saveData="1">
    <webPr sourceData="1" parsePre="1" consecutive="1" xl2000="1" url="http://justdata.yuanta.com.tw/z/zc/zcp/zcpa/zcpa_1308.asp.htm" htmlTables="1"/>
  </connection>
  <connection id="87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88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89" name="連線22" type="4" refreshedVersion="5" background="1" saveData="1">
    <webPr sourceData="1" parsePre="1" consecutive="1" xl2000="1" url="http://justdata.yuanta.com.tw/z/zc/zcp/zcpa/zcpa_1310.asp.htm" htmlTables="1"/>
  </connection>
  <connection id="90" name="連線23" type="4" refreshedVersion="0" background="1">
    <webPr url="http://www.emega.com.tw/z/zc/zch/zch_1104.djhtm" htmlTables="1" htmlFormat="all"/>
  </connection>
  <connection id="91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92" name="連線24" type="4" refreshedVersion="5" background="1" saveData="1">
    <webPr sourceData="1" parsePre="1" consecutive="1" xl2000="1" url="http://justdata.yuanta.com.tw/z/zc/zcp/zcpa/zcpa_1262.asp.htm" htmlTables="1"/>
  </connection>
  <connection id="93" name="連線25" type="4" refreshedVersion="5" background="1" saveData="1">
    <webPr sourceData="1" parsePre="1" consecutive="1" xl2000="1" url="http://justdata.yuanta.com.tw/z/zc/zcp/zcpa/zcpa_1307.asp.htm" htmlTables="1"/>
  </connection>
  <connection id="94" name="連線258" type="4" refreshedVersion="0" background="1">
    <webPr url="http://www.cnyes.com/twstock/Technical/3675.htm" htmlTables="1" htmlFormat="all"/>
  </connection>
  <connection id="95" name="連線26" type="4" refreshedVersion="5" background="1" saveData="1">
    <webPr sourceData="1" parsePre="1" consecutive="1" xl2000="1" url="http://justdata.yuanta.com.tw/z/zc/zcp/zcpa/zcpa_1234.asp.htm" htmlTables="1"/>
  </connection>
  <connection id="96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97" name="連線27" type="4" refreshedVersion="5" background="1" saveData="1">
    <webPr sourceData="1" parsePre="1" consecutive="1" xl2000="1" url="http://justdata.yuanta.com.tw/z/zc/zcp/zcpa/zcpa_1312.asp.htm" htmlTables="1"/>
  </connection>
  <connection id="98" name="連線272" type="4" refreshedVersion="0" background="1">
    <webPr url="http://www.emega.com.tw/z/zc/zch/zch_2102.djhtm" htmlTables="1" htmlFormat="all"/>
  </connection>
  <connection id="99" name="連線274" type="4" refreshedVersion="0" background="1">
    <webPr url="https://tw.stock.yahoo.com/d/s/earning_2733.html" htmlTables="1" htmlFormat="all"/>
  </connection>
  <connection id="100" name="連線2749" type="4" refreshedVersion="0" background="1">
    <webPr url="http://justdata.yuanta.com.tw/z/zc/zcp/zcpa/zcpa_8068.asp.htm" htmlTables="1" htmlFormat="all"/>
  </connection>
  <connection id="101" name="連線28" type="4" refreshedVersion="5" background="1" saveData="1">
    <webPr sourceData="1" parsePre="1" consecutive="1" xl2000="1" url="http://justdata.yuanta.com.tw/z/zc/zcp/zcpa/zcpa_1319.asp.htm" htmlTables="1"/>
  </connection>
  <connection id="102" name="連線285" type="4" refreshedVersion="0" background="1">
    <webPr url="http://www.emega.com.tw/z/zc/zch/zch_1220.djhtm" htmlTables="1" htmlFormat="all"/>
  </connection>
  <connection id="103" name="連線29" type="4" refreshedVersion="5" background="1" saveData="1">
    <webPr sourceData="1" parsePre="1" consecutive="1" xl2000="1" url="http://justdata.yuanta.com.tw/z/zc/zcp/zcpa/zcpa_1304.asp.htm" htmlTables="1"/>
  </connection>
  <connection id="104" name="連線3" type="4" refreshedVersion="0" background="1">
    <webPr url="http://justdata.yuanta.com.tw/z/zc/zcp/zcpa/zcpa_3073.asp.htm" htmlTables="1" htmlFormat="all"/>
  </connection>
  <connection id="105" name="連線30" type="4" refreshedVersion="5" background="1" saveData="1">
    <webPr sourceData="1" parsePre="1" consecutive="1" xl2000="1" url="http://justdata.yuanta.com.tw/z/zc/zcp/zcpa/zcpa_1301.asp.htm" htmlTables="1"/>
  </connection>
  <connection id="106" name="連線31" type="4" refreshedVersion="5" background="1" saveData="1">
    <webPr sourceData="1" parsePre="1" consecutive="1" xl2000="1" url="http://justdata.yuanta.com.tw/z/zc/zcp/zcpa/zcpa_1326.asp.htm" htmlTables="1"/>
  </connection>
  <connection id="107" name="連線32" type="4" refreshedVersion="5" background="1" saveData="1">
    <webPr sourceData="1" parsePre="1" consecutive="1" xl2000="1" url="http://justdata.yuanta.com.tw/z/zc/zcp/zcpa/zcpa_1303.asp.htm" htmlTables="1"/>
  </connection>
  <connection id="108" name="連線329" type="4" refreshedVersion="0" background="1">
    <webPr url="http://justdata.yuanta.com.tw/z/zc/zcq/zcq_1464.asp.htm" htmlTables="1" htmlFormat="all"/>
  </connection>
  <connection id="109" name="連線33" type="4" refreshedVersion="0" background="1">
    <webPr url="http://www.cnyes.com/twstock/Technical/3005.htm" htmlTables="1" htmlFormat="all"/>
  </connection>
  <connection id="110" name="連線338" type="4" refreshedVersion="0" background="1">
    <webPr url="http://www.emega.com.tw/z/zc/zch/zch_1517.djhtm" htmlTables="1" htmlFormat="all"/>
  </connection>
  <connection id="111" name="連線34" type="4" refreshedVersion="5" background="1" saveData="1">
    <webPr sourceData="1" parsePre="1" consecutive="1" xl2000="1" url="http://justdata.yuanta.com.tw/z/zc/zcp/zcpa/zcpa_1227.asp.htm" htmlTables="1"/>
  </connection>
  <connection id="112" name="連線35" type="4" refreshedVersion="5" background="1" saveData="1">
    <webPr sourceData="1" parsePre="1" consecutive="1" xl2000="1" url="http://justdata.yuanta.com.tw/z/zc/zcp/zcpa/zcpa_1232.asp.htm" htmlTables="1"/>
  </connection>
  <connection id="113" name="連線355" type="4" refreshedVersion="0" background="1">
    <webPr url="http://justdata.yuanta.com.tw/z/zc/zcq/zcq_1201.asp.htm" htmlTables="1" htmlFormat="all"/>
  </connection>
  <connection id="114" name="連線36" type="4" refreshedVersion="0" background="1">
    <webPr url="http://www.emega.com.tw/z/zc/zch/zch_1452.djhtm" htmlTables="1" htmlFormat="all"/>
  </connection>
  <connection id="115" name="連線360" type="4" refreshedVersion="0" background="1">
    <webPr url="http://www.cnyes.com/twstock/Technical/2106.htm" htmlTables="1" htmlFormat="all"/>
  </connection>
  <connection id="116" name="連線364" type="4" refreshedVersion="0" background="1">
    <webPr url="https://tw.stock.yahoo.com/d/s/earning_3627.html" htmlTables="1" htmlFormat="all"/>
  </connection>
  <connection id="117" name="連線369" type="4" refreshedVersion="0" background="1">
    <webPr url="http://www.emega.com.tw/z/zc/zch/zch_1446.djhtm" htmlTables="1" htmlFormat="all"/>
  </connection>
  <connection id="118" name="連線37" type="4" refreshedVersion="0" background="1">
    <webPr url="http://www.emega.com.tw/z/zc/zch/zch_2637.djhtm" htmlTables="1" htmlFormat="all"/>
  </connection>
  <connection id="119" name="連線371" type="4" refreshedVersion="0" background="1">
    <webPr url="http://justdata.yuanta.com.tw/z/zc/zcq/zcq_1233.asp.htm" htmlTables="1" htmlFormat="all"/>
  </connection>
  <connection id="120" name="連線376" type="4" refreshedVersion="0" background="1">
    <webPr url="http://www.emega.com.tw/z/zc/zch/zch_2424.djhtm" htmlTables="1" htmlFormat="all"/>
  </connection>
  <connection id="121" name="連線38" type="4" refreshedVersion="5" background="1" saveData="1">
    <webPr sourceData="1" parsePre="1" consecutive="1" xl2000="1" url="http://justdata.yuanta.com.tw/z/zc/zcp/zcpa/zcpa_1215.asp.htm" htmlTables="1"/>
  </connection>
  <connection id="122" name="連線39" type="4" refreshedVersion="5" background="1" saveData="1">
    <webPr sourceData="1" parsePre="1" consecutive="1" xl2000="1" url="http://justdata.yuanta.com.tw/z/zc/zcp/zcpa/zcpa_1216.asp.htm" htmlTables="1"/>
  </connection>
  <connection id="123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124" name="連線40" type="4" refreshedVersion="5" background="1" saveData="1">
    <webPr sourceData="1" parsePre="1" consecutive="1" xl2000="1" url="http://justdata.yuanta.com.tw/z/zc/zcp/zcpa/zcpa_1210.asp.htm" htmlTables="1"/>
  </connection>
  <connection id="125" name="連線409" type="4" refreshedVersion="0" background="1">
    <webPr url="http://tw.stock.yahoo.com/q/q?s=8421" htmlTables="1" htmlFormat="all"/>
  </connection>
  <connection id="126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127" name="連線42" type="4" refreshedVersion="5" background="1" saveData="1">
    <webPr sourceData="1" parsePre="1" consecutive="1" xl2000="1" url="http://justdata.yuanta.com.tw/z/zc/zcp/zcpa/zcpa_1220.asp.htm" htmlTables="1"/>
  </connection>
  <connection id="128" name="連線43" type="4" refreshedVersion="5" background="1" saveData="1">
    <webPr sourceData="1" parsePre="1" consecutive="1" xl2000="1" url="http://justdata.yuanta.com.tw/z/zc/zcp/zcpa/zcpa_1225.asp.htm" htmlTables="1"/>
  </connection>
  <connection id="129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130" name="連線44" type="4" refreshedVersion="5" background="1" saveData="1">
    <webPr sourceData="1" parsePre="1" consecutive="1" xl2000="1" url="http://justdata.yuanta.com.tw/z/zc/zcp/zcpa/zcpa_1231.asp.htm" htmlTables="1"/>
  </connection>
  <connection id="131" name="連線45" type="4" refreshedVersion="5" background="1" saveData="1">
    <webPr sourceData="1" parsePre="1" consecutive="1" xl2000="1" url="http://justdata.yuanta.com.tw/z/zc/zcp/zcpa/zcpa_1229.asp.htm" htmlTables="1"/>
  </connection>
  <connection id="132" name="連線456" type="4" refreshedVersion="0" background="1">
    <webPr url="http://www.cnyes.com/twstock/Technical/5388.htm" htmlTables="1" htmlFormat="all"/>
  </connection>
  <connection id="133" name="連線46" type="4" refreshedVersion="5" background="1" saveData="1">
    <webPr sourceData="1" parsePre="1" consecutive="1" xl2000="1" url="http://justdata.yuanta.com.tw/z/zc/zcp/zcpa/zcpa_1101.asp.htm" htmlTables="1"/>
  </connection>
  <connection id="134" name="連線47" type="4" refreshedVersion="5" background="1" saveData="1">
    <webPr sourceData="1" parsePre="1" consecutive="1" xl2000="1" url="http://justdata.yuanta.com.tw/z/zc/zcp/zcpa/zcpa_1102.asp.htm" htmlTables="1"/>
  </connection>
  <connection id="135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136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137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138" name="連線512" type="4" refreshedVersion="0" background="1">
    <webPr url="http://www.emega.com.tw/z/zc/zch/zch_6197.djhtm" htmlTables="1" htmlFormat="all"/>
  </connection>
  <connection id="139" name="連線52" type="4" refreshedVersion="0" background="1">
    <webPr url="http://www.emega.com.tw/z/zc/zch/zch_1471.djhtm" htmlTables="1" htmlFormat="all"/>
  </connection>
  <connection id="140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141" name="連線586" type="4" refreshedVersion="0" background="1">
    <webPr url="http://www.emega.com.tw/z/zc/zch/zch_2115.djhtm" htmlTables="1" htmlFormat="all"/>
  </connection>
  <connection id="142" name="連線59" type="4" refreshedVersion="0" background="1">
    <webPr url="http://justdata.yuanta.com.tw/z/zc/zcl/zcl.djhtm?a=2441&amp;b=2" htmlTables="1" htmlFormat="all"/>
  </connection>
  <connection id="143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144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145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146" name="連線633" type="4" refreshedVersion="0" background="1">
    <webPr url="http://www.emega.com.tw/z/zc/zcn/zcn.djhtm?a=1773&amp;b=4" htmlTables="1" htmlFormat="all"/>
  </connection>
  <connection id="147" name="連線64" type="4" refreshedVersion="0" background="1">
    <webPr url="http://justdata.yuanta.com.tw/z/zc/zcq/zcq_1717.asp.htm" htmlTables="1" htmlFormat="all"/>
  </connection>
  <connection id="148" name="連線645" type="4" refreshedVersion="0" background="1">
    <webPr url="http://www.emega.com.tw/z/zc/zch/zch_2349.djhtm" htmlTables="1" htmlFormat="all"/>
  </connection>
  <connection id="149" name="連線661" type="4" refreshedVersion="0" background="1">
    <webPr url="http://justdata.yuanta.com.tw/z/zc/zcl/zcl.djhtm?a=1524&amp;b=2" htmlTables="1" htmlFormat="all"/>
  </connection>
  <connection id="1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151" name="連線69" type="4" refreshedVersion="0" background="1">
    <webPr url="http://www.cnyes.com/twstock/Technical/1537_1.65%.htm" htmlTables="1" htmlFormat="all"/>
  </connection>
  <connection id="152" name="連線7" type="4" refreshedVersion="5" background="1" saveData="1">
    <webPr sourceData="1" parsePre="1" consecutive="1" xl2000="1" url="http://justdata.yuanta.com.tw/z/zc/zcp/zcpa/zcpa_1233.asp.htm" htmlTables="1"/>
  </connection>
  <connection id="153" name="連線70" type="4" refreshedVersion="0" background="1">
    <webPr url="http://www.cnyes.com/twstock/Technical/1537_1.65%.htm" htmlTables="1" htmlFormat="all"/>
  </connection>
  <connection id="1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155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156" name="連線77" type="4" refreshedVersion="0" background="1">
    <webPr url="http://www.emega.com.tw/z/zc/zch/zch_6286.djhtm" htmlTables="1" htmlFormat="all"/>
  </connection>
  <connection id="157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158" name="連線78" type="4" refreshedVersion="0" background="1">
    <webPr url="http://www.emega.com.tw/z/zc/zch/zch_1303.djhtm" htmlTables="1" htmlFormat="all"/>
  </connection>
  <connection id="159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160" name="連線799" type="4" refreshedVersion="0" background="1">
    <webPr url="http://www.emega.com.tw/z/zc/zch/zch_6171.djhtm" htmlTables="1" htmlFormat="all"/>
  </connection>
  <connection id="161" name="連線8" type="4" refreshedVersion="0" background="1">
    <webPr url="http://justdata.yuanta.com.tw/z/zc/zcp/zcpa/zcpa_8109.asp.htm" htmlTables="1" htmlFormat="all"/>
  </connection>
  <connection id="162" name="連線83" type="4" refreshedVersion="0" background="1">
    <webPr url="http://justdata.yuanta.com.tw/z/zc/zcl/zcl.djhtm?a=2455&amp;b=2" htmlTables="1" htmlFormat="all"/>
  </connection>
  <connection id="163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164" name="連線9" type="4" refreshedVersion="5" background="1" saveData="1">
    <webPr sourceData="1" parsePre="1" consecutive="1" xl2000="1" url="http://justdata.yuanta.com.tw/z/zc/zcp/zcpa/zcpa_1236.asp.htm" htmlTables="1"/>
  </connection>
  <connection id="165" name="連線93" type="4" refreshedVersion="0" background="1">
    <webPr url="http://www.emega.com.tw/z/zc/zch/zch_1232.djhtm" htmlTables="1" htmlFormat="all"/>
  </connection>
  <connection id="166" name="連線930" type="4" refreshedVersion="0" background="1">
    <webPr url="http://www.emega.com.tw/z/zc/zch/zch_3706.djhtm" htmlTables="1" htmlFormat="all"/>
  </connection>
  <connection id="167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168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169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<sst xmlns="http://schemas.openxmlformats.org/spreadsheetml/2006/main" count="5185" uniqueCount="2383">
  <si>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</si>
  <si>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</si>
  <si>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</si>
  <si>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</si>
  <si>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</si>
  <si>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</si>
  <si>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</si>
  <si>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</si>
  <si>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</si>
  <si>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</si>
  <si>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</si>
  <si>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</si>
  <si>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</si>
  <si>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</si>
  <si>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</si>
  <si>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</si>
  <si>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</si>
  <si>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</si>
  <si>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</si>
  <si>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</si>
  <si>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</si>
  <si>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</si>
  <si>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</si>
  <si>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</si>
  <si>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</si>
  <si>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</si>
  <si>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</si>
  <si>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</si>
  <si>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</si>
  <si>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</si>
  <si>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</si>
  <si>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</si>
  <si>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</si>
  <si>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</si>
  <si>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</si>
  <si>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</si>
  <si>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</si>
  <si>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</si>
  <si>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</si>
  <si>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</si>
  <si>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</si>
  <si>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</si>
  <si>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</si>
  <si>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</si>
  <si>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</si>
  <si>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</si>
  <si>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</si>
  <si>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</si>
  <si>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</si>
  <si>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</si>
  <si>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</si>
  <si>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</si>
  <si>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</si>
  <si>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</si>
  <si>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</si>
  <si>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</si>
  <si>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</si>
  <si>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</si>
  <si>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</si>
  <si>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</si>
  <si>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</si>
  <si>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</si>
  <si>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</si>
  <si>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</si>
  <si>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</si>
  <si>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</si>
  <si>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</si>
  <si>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</si>
  <si>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</si>
  <si>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</si>
  <si>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</si>
  <si>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</si>
  <si>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</si>
  <si>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</si>
  <si>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</si>
  <si>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</si>
  <si>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</si>
  <si>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</si>
  <si>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</si>
  <si>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</si>
  <si>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</si>
  <si>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</si>
  <si>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</si>
  <si>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</si>
  <si>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</si>
  <si>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</si>
  <si>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</si>
  <si>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</si>
  <si>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</si>
  <si>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</si>
  <si>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</si>
  <si>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</si>
  <si>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</si>
  <si>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</si>
  <si>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</si>
  <si>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</si>
  <si>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</si>
  <si>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</si>
  <si>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</si>
  <si>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</si>
  <si>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</si>
  <si>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</si>
  <si>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</si>
  <si>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</si>
  <si>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</si>
  <si>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</si>
  <si>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</si>
  <si>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</si>
  <si>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</si>
  <si>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</si>
  <si>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</si>
  <si>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</si>
  <si>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</si>
  <si>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</si>
  <si>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</si>
  <si>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</si>
  <si>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</si>
  <si>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</si>
  <si>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</si>
  <si>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</si>
  <si>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</si>
  <si>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</si>
  <si>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</si>
  <si>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</si>
  <si>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</si>
  <si>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</si>
  <si>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</si>
  <si>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</si>
  <si>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</si>
  <si>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</si>
  <si>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</si>
  <si>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</si>
  <si>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</si>
  <si>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</si>
  <si>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</si>
  <si>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</si>
  <si>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</si>
  <si>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</si>
  <si>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</si>
  <si>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</si>
  <si>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</si>
  <si>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</si>
  <si>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</si>
  <si>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</si>
  <si>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</si>
  <si>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</si>
  <si>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</si>
  <si>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</si>
  <si>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</si>
  <si>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</si>
  <si>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</si>
  <si>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</si>
  <si>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</si>
  <si>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</si>
  <si>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</si>
  <si>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</si>
  <si>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</si>
  <si>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</si>
  <si>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</si>
  <si>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</si>
  <si>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</si>
  <si>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</si>
  <si>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</si>
  <si>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</si>
  <si>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</si>
  <si>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</si>
  <si>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</si>
  <si>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</si>
  <si>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</si>
  <si>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</si>
  <si>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</si>
  <si>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</si>
  <si>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</si>
  <si>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</si>
  <si>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</si>
  <si>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</si>
  <si>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</si>
  <si>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</si>
  <si>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</si>
  <si>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</si>
  <si>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</si>
  <si>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</si>
  <si>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</si>
  <si>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</si>
  <si>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</si>
  <si>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</si>
  <si>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</si>
  <si>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</si>
  <si>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</si>
  <si>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</si>
  <si>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</si>
  <si>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</si>
  <si>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</si>
  <si>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</si>
  <si>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</si>
  <si>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</si>
  <si>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</si>
  <si>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</si>
  <si>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</si>
  <si>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</si>
  <si>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</si>
  <si>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</si>
  <si>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</si>
  <si>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</si>
  <si>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</si>
  <si>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</si>
  <si>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</si>
  <si>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</si>
  <si>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</si>
  <si>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</si>
  <si>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</si>
  <si>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</si>
  <si>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</si>
  <si>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</si>
  <si>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</si>
  <si>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</si>
  <si>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</si>
  <si>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</si>
  <si>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</si>
  <si>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</si>
  <si>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</si>
  <si>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</si>
  <si>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</si>
  <si>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</si>
  <si>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</si>
  <si>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</si>
  <si>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</si>
  <si>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</si>
  <si>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</si>
  <si>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</si>
  <si>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</si>
  <si>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</si>
  <si>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</si>
  <si>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</si>
  <si>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</si>
  <si>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</si>
  <si>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</si>
  <si>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</si>
  <si>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</si>
  <si>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</si>
  <si>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</si>
  <si>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</si>
  <si>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</si>
  <si>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</si>
  <si>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</si>
  <si>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</si>
  <si>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</si>
  <si>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</si>
  <si>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</si>
  <si>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</si>
  <si>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</si>
  <si>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</si>
  <si>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</si>
  <si>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</si>
  <si>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</si>
  <si>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</si>
  <si>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</si>
  <si>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</si>
  <si>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</si>
  <si>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</si>
  <si>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</si>
  <si>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</si>
  <si>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</si>
  <si>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</si>
  <si>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</si>
  <si>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</si>
  <si>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</si>
  <si>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</si>
  <si>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</si>
  <si>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</si>
  <si>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</si>
  <si>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</si>
  <si>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</si>
  <si>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</si>
  <si>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</si>
  <si>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</si>
  <si>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</si>
  <si>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</si>
  <si>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</si>
  <si>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</si>
  <si>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</si>
  <si>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</si>
  <si>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</si>
  <si>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</si>
  <si>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</si>
  <si>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</si>
  <si>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</si>
  <si>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</si>
  <si>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</si>
  <si>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</si>
  <si>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</si>
  <si>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</si>
  <si>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</si>
  <si>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</si>
  <si>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</si>
  <si>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</si>
  <si>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</si>
  <si>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</si>
  <si>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</si>
  <si>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</si>
  <si>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</si>
  <si>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</si>
  <si>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</si>
  <si>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</si>
  <si>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</si>
  <si>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</si>
  <si>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</si>
  <si>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</si>
  <si>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</si>
  <si>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</si>
  <si>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</si>
  <si>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</si>
  <si>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</si>
  <si>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</si>
  <si>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</si>
  <si>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</si>
  <si>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</si>
  <si>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</si>
  <si>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</si>
  <si>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</si>
  <si>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</si>
  <si>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</si>
  <si>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</si>
  <si>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</si>
  <si>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</si>
  <si>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</si>
  <si>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</si>
  <si>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</si>
  <si>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</si>
  <si>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</si>
  <si>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</si>
  <si>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</si>
  <si>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</si>
  <si>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</si>
  <si>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</si>
  <si>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</si>
  <si>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</si>
  <si>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</si>
  <si>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</si>
  <si>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</si>
  <si>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</si>
  <si>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</si>
  <si>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</si>
  <si>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</si>
  <si>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</si>
  <si>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</si>
  <si>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</si>
  <si>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</si>
  <si>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</si>
  <si>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</si>
  <si>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</si>
  <si>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</si>
  <si>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</si>
  <si>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</si>
  <si>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</si>
  <si>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</si>
  <si>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</si>
  <si>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</si>
  <si>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</si>
  <si>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</si>
  <si>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</si>
  <si>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</si>
  <si>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</si>
  <si>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</si>
  <si>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</si>
  <si>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</si>
  <si>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</si>
  <si>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</si>
  <si>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</si>
  <si>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</si>
  <si>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</si>
  <si>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</si>
  <si>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</si>
  <si>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</si>
  <si>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</si>
  <si>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</si>
  <si>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</si>
  <si>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</si>
  <si>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</si>
  <si>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</si>
  <si>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</si>
  <si>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</si>
  <si>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</si>
  <si>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</si>
  <si>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</si>
  <si>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</si>
  <si>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</si>
  <si>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</si>
  <si>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</si>
  <si>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</si>
  <si>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</si>
  <si>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</si>
  <si>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</si>
  <si>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</si>
  <si>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</si>
  <si>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</si>
  <si>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</si>
  <si>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</si>
  <si>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</si>
  <si>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</si>
  <si>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</si>
  <si>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</si>
  <si>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</si>
  <si>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</si>
  <si>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</si>
  <si>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</si>
  <si>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</si>
  <si>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</si>
  <si>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</si>
  <si>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</si>
  <si>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</si>
  <si>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</si>
  <si>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</si>
  <si>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</si>
  <si>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</si>
  <si>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</si>
  <si>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</si>
  <si>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</si>
  <si>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</si>
  <si>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</si>
  <si>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</si>
  <si>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</si>
  <si>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</si>
  <si>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</si>
  <si>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</si>
  <si>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</si>
  <si>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</si>
  <si>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</si>
  <si>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</si>
  <si>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</si>
  <si>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</si>
  <si>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</si>
  <si>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</si>
  <si>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</si>
  <si>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</si>
  <si>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</si>
  <si>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</si>
  <si>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</si>
  <si>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</si>
  <si>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</si>
  <si>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</si>
  <si>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</si>
  <si>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長鴻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</si>
  <si>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</si>
  <si>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</si>
  <si>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</si>
  <si>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</si>
  <si>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</si>
  <si>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</si>
  <si>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</si>
  <si>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</si>
  <si>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</si>
  <si>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</si>
  <si>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</si>
  <si>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</si>
  <si>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</si>
  <si>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</si>
  <si>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</si>
  <si>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</si>
  <si>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</si>
  <si>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</si>
  <si>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</si>
  <si>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</si>
  <si>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</si>
  <si>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</si>
  <si>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</si>
  <si>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</si>
  <si>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</si>
  <si>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</si>
  <si>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</si>
  <si>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</si>
  <si>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</si>
  <si>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</si>
  <si>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</si>
  <si>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</si>
  <si>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</si>
  <si>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</si>
  <si>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</si>
  <si>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</si>
  <si>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</si>
  <si>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</si>
  <si>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</si>
  <si>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</si>
  <si>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</si>
  <si>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</si>
  <si>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</si>
  <si>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</si>
  <si>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</si>
  <si>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</si>
  <si>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</si>
  <si>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</si>
  <si>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</si>
  <si>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</si>
  <si>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</si>
  <si>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</si>
  <si>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</si>
  <si>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</si>
  <si>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</si>
  <si>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</si>
  <si>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</si>
  <si>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</si>
  <si>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</si>
  <si>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</si>
  <si>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</si>
  <si>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</si>
  <si>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</si>
  <si>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</si>
  <si>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</si>
  <si>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</si>
  <si>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</si>
  <si>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</si>
  <si>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</si>
  <si>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</si>
  <si>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</si>
  <si>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</si>
  <si>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</si>
  <si>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</si>
  <si>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</si>
  <si>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</si>
  <si>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</si>
  <si>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</si>
  <si>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</si>
  <si>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</si>
  <si>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</si>
  <si>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</si>
  <si>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</si>
  <si>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</si>
  <si>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</si>
  <si>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</si>
  <si>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</si>
  <si>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</si>
  <si>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</si>
  <si>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</si>
  <si>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</si>
  <si>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</si>
  <si>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</si>
  <si>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</si>
  <si>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</si>
  <si>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</si>
  <si>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</si>
  <si>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</si>
  <si>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</si>
  <si>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</si>
  <si>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>自選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</si>
  <si>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</si>
  <si>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</si>
  <si>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</si>
  <si>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</si>
  <si>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</si>
  <si>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</si>
  <si>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</si>
  <si>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</si>
  <si>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</si>
  <si>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</si>
  <si>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</si>
  <si>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</si>
  <si>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</si>
  <si>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</si>
  <si>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</si>
  <si>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</si>
  <si>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</si>
  <si>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</si>
  <si>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</si>
  <si>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</si>
  <si>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</si>
  <si>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</si>
  <si>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</si>
  <si>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</si>
  <si>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</si>
  <si>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</si>
  <si>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</si>
  <si>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</si>
  <si>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</si>
  <si>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</si>
  <si>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</si>
  <si>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</si>
  <si>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</si>
  <si>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</si>
  <si>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</si>
  <si>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</si>
  <si>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</si>
  <si>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</si>
  <si>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</si>
  <si>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</si>
  <si>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</si>
  <si>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</si>
  <si>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</si>
  <si>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</si>
  <si>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</si>
  <si>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</si>
  <si>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</si>
  <si>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</si>
  <si>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</si>
  <si>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</si>
  <si>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</si>
  <si>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</si>
  <si>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</si>
  <si>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</si>
  <si>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</si>
  <si>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</si>
  <si>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</si>
  <si>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</si>
  <si>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</si>
  <si>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</si>
  <si>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</si>
  <si>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</si>
  <si>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</si>
  <si>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</si>
  <si>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</si>
  <si>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</si>
  <si>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</si>
  <si>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</si>
  <si>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</si>
  <si>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</si>
  <si>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</si>
  <si>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</si>
  <si>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</si>
  <si>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</si>
  <si>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</si>
  <si>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</si>
  <si>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</si>
  <si>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</si>
  <si>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</si>
  <si>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</si>
  <si>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</si>
  <si>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</si>
  <si>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</si>
  <si>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</si>
  <si>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</si>
  <si>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</si>
  <si>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</si>
  <si>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</si>
  <si>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</si>
  <si>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</si>
  <si>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</si>
  <si>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</si>
  <si>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</si>
  <si>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</si>
  <si>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</si>
  <si>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</si>
  <si>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</si>
  <si>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</si>
  <si>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</si>
  <si>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</si>
  <si>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</si>
  <si>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</si>
  <si>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</si>
  <si>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</si>
  <si>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</si>
  <si>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</si>
  <si>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</si>
  <si>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</si>
  <si>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</si>
  <si>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</si>
  <si>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</si>
  <si>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</si>
  <si>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</si>
  <si>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</si>
  <si>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</si>
  <si>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</si>
  <si>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</si>
  <si>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</si>
  <si>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</si>
  <si>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</si>
  <si>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</si>
  <si>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</si>
  <si>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</si>
  <si>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</si>
  <si>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</si>
  <si>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</si>
  <si>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</si>
  <si>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</si>
  <si>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</si>
  <si>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</si>
  <si>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</si>
  <si>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</si>
  <si>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</si>
  <si>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</si>
  <si>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</si>
  <si>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</si>
  <si>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</si>
  <si>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</si>
  <si>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</si>
  <si>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</si>
  <si>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</si>
  <si>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</si>
  <si>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</si>
  <si>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</si>
  <si>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</si>
  <si>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</si>
  <si>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</si>
  <si>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</si>
  <si>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</si>
  <si>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</si>
  <si>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</si>
  <si>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</si>
  <si>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</si>
  <si>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</si>
  <si>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</si>
  <si>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</si>
  <si>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</si>
  <si>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</si>
  <si>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</si>
  <si>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</si>
  <si>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</si>
  <si>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</si>
  <si>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</si>
  <si>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</si>
  <si>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</si>
  <si>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</si>
  <si>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</si>
  <si>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</si>
  <si>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</si>
  <si>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</si>
  <si>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</si>
  <si>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</si>
  <si>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</si>
  <si>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</si>
  <si>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</si>
  <si>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</si>
  <si>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</si>
  <si>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</si>
  <si>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</si>
  <si>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</si>
  <si>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</si>
  <si>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</si>
  <si>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</si>
  <si>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</si>
  <si>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</si>
  <si>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</si>
  <si>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</si>
  <si>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</si>
  <si>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</si>
  <si>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</si>
  <si>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</si>
  <si>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</si>
  <si>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</si>
  <si>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</si>
  <si>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</si>
  <si>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</si>
  <si>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</si>
  <si>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</si>
  <si>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</si>
  <si>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</si>
  <si>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</si>
  <si>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</si>
  <si>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</si>
  <si>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</si>
  <si>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</si>
  <si>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</si>
  <si>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</si>
  <si>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</si>
  <si>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</si>
  <si>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</si>
  <si>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</si>
  <si>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</si>
  <si>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</si>
  <si>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</si>
  <si>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</si>
  <si>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</si>
  <si>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</si>
  <si>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</si>
  <si>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</si>
  <si>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</si>
  <si>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</si>
  <si>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</si>
  <si>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</si>
  <si>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</si>
  <si>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</si>
  <si>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</si>
  <si>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</si>
  <si>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</si>
  <si>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</si>
  <si>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</si>
  <si>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</si>
  <si>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</si>
  <si>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</si>
  <si>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</si>
  <si>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</si>
  <si>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</si>
  <si>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</si>
  <si>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</si>
  <si>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</si>
  <si>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</si>
  <si>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</si>
  <si>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</si>
  <si>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</si>
  <si>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</si>
  <si>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</si>
  <si>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</si>
  <si>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</si>
  <si>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</si>
  <si>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</si>
  <si>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</si>
  <si>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</si>
  <si>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</si>
  <si>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</si>
  <si>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</si>
  <si>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</si>
  <si>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</si>
  <si>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</si>
  <si>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</si>
  <si>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</si>
  <si>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</si>
  <si>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</si>
  <si>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</si>
  <si>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</si>
  <si>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</si>
  <si>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</si>
  <si>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</si>
  <si>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</si>
  <si>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</si>
  <si>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</si>
  <si>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</si>
  <si>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</si>
  <si>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</si>
  <si>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</si>
  <si>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</si>
  <si>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</si>
  <si>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</si>
  <si>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</si>
  <si>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</si>
  <si>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</si>
  <si>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</si>
  <si>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</si>
  <si>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</si>
  <si>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</si>
  <si>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</si>
  <si>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</si>
  <si>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</si>
  <si>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</si>
  <si>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</si>
  <si>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</si>
  <si>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</si>
  <si>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</si>
  <si>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</si>
  <si>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</si>
  <si>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</si>
  <si>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</si>
  <si>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</si>
  <si>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</si>
  <si>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</si>
  <si>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</si>
  <si>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</si>
  <si>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</si>
  <si>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</si>
  <si>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</si>
  <si>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</si>
  <si>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</si>
  <si>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</si>
  <si>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</si>
  <si>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</si>
  <si>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</si>
  <si>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</si>
  <si>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</si>
  <si>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</si>
  <si>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</si>
  <si>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</si>
  <si>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</si>
  <si>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</si>
  <si>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</si>
  <si>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</si>
  <si>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</si>
  <si>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</si>
  <si>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</si>
  <si>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</si>
  <si>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</si>
  <si>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</si>
  <si>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</si>
  <si>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</si>
  <si>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</si>
  <si>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</si>
  <si>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</si>
  <si>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</si>
  <si>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</si>
  <si>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</si>
  <si>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</si>
  <si>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</si>
  <si>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</si>
  <si>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</si>
  <si>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</si>
  <si>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</si>
  <si>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</si>
  <si>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</si>
  <si>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</si>
  <si>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</si>
  <si>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</si>
  <si>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</si>
  <si>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</si>
  <si>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</si>
  <si>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</si>
  <si>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</si>
  <si>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</si>
  <si>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</si>
  <si>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</si>
  <si>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</si>
  <si>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</si>
  <si>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</si>
  <si>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</si>
  <si>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</si>
  <si>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</si>
  <si>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</si>
  <si>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</si>
  <si>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</si>
  <si>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</si>
  <si>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</si>
  <si>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</si>
  <si>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</si>
  <si>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</si>
  <si>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</si>
  <si>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</si>
  <si>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</si>
  <si>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</si>
  <si>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</si>
  <si>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</si>
  <si>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</si>
  <si>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</si>
  <si>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</si>
  <si>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</si>
  <si>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</si>
  <si>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</si>
  <si>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</si>
  <si>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</si>
  <si>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</si>
  <si>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</si>
  <si>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</si>
  <si>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</si>
  <si>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</si>
  <si>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</si>
  <si>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</si>
  <si>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</si>
  <si>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</si>
  <si>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</si>
  <si>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</si>
  <si>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</si>
  <si>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</si>
  <si>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</si>
  <si>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</si>
  <si>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</si>
  <si>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</si>
  <si>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</si>
  <si>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</si>
  <si>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</si>
  <si>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</si>
  <si>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</si>
  <si>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</si>
  <si>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</si>
  <si>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</si>
  <si>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</si>
  <si>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</si>
  <si>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</si>
  <si>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</si>
  <si>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</si>
  <si>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</si>
  <si>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</si>
  <si>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</si>
  <si>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</si>
  <si>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</si>
  <si>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</si>
  <si>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</si>
  <si>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</si>
  <si>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</si>
  <si>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</si>
  <si>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</si>
  <si>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</si>
  <si>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</si>
  <si>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</si>
  <si>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</si>
  <si>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</si>
  <si>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</si>
  <si>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</si>
  <si>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</si>
  <si>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</si>
  <si>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</si>
  <si>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</si>
  <si>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</si>
  <si>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</si>
  <si>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</si>
  <si>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</si>
  <si>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</si>
  <si>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</si>
  <si>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</si>
  <si>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</si>
  <si>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</si>
  <si>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</si>
  <si>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</si>
  <si>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</si>
  <si>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</si>
  <si>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</si>
  <si>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</si>
  <si>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</si>
  <si>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</si>
  <si>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</si>
  <si>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</si>
  <si>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</si>
  <si>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</si>
  <si>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</si>
  <si>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</si>
  <si>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</si>
  <si>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</si>
  <si>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</si>
  <si>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</si>
  <si>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</si>
  <si>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</si>
  <si>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</si>
  <si>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</si>
  <si>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</si>
  <si>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</si>
  <si>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</si>
  <si>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</si>
  <si>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</si>
  <si>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</si>
  <si>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</si>
  <si>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</si>
  <si>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</si>
  <si>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</si>
  <si>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</si>
  <si>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</si>
  <si>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</si>
  <si>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</si>
  <si>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</si>
  <si>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</si>
  <si>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</si>
  <si>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</si>
  <si>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</si>
  <si>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</si>
  <si>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</si>
  <si>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</si>
  <si>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</si>
  <si>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</si>
  <si>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</si>
  <si>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</si>
  <si>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</si>
  <si>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</si>
  <si>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</si>
  <si>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</si>
  <si>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</si>
  <si>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</si>
  <si>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</si>
  <si>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</si>
  <si>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</si>
  <si>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</si>
  <si>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</si>
  <si>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</si>
  <si>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</si>
  <si>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</si>
  <si>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</si>
  <si>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</si>
  <si>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</si>
  <si>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</si>
  <si>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</si>
  <si>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</si>
  <si>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</si>
  <si>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</si>
  <si>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</si>
  <si>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</si>
  <si>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</si>
  <si>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</si>
  <si>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</si>
  <si>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</si>
  <si>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</si>
  <si>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</si>
  <si>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</si>
  <si>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</si>
  <si>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</si>
  <si>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</si>
  <si>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</si>
  <si>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</si>
  <si>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</si>
  <si>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</si>
  <si>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</si>
  <si>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</si>
  <si>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</si>
  <si>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</si>
  <si>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</si>
  <si>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</si>
  <si>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</si>
  <si>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</si>
  <si>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</si>
  <si>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</si>
  <si>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</si>
  <si>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</si>
  <si>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</si>
  <si>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</si>
  <si>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</si>
  <si>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</si>
  <si>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</si>
  <si>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</si>
  <si>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</si>
  <si>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</si>
  <si>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</si>
  <si>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</si>
  <si>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</si>
  <si>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</si>
  <si>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</si>
  <si>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</si>
  <si>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</si>
  <si>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</si>
  <si>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</si>
  <si>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</si>
  <si>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</si>
  <si>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</si>
  <si>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</si>
  <si>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</si>
  <si>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</si>
  <si>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</si>
  <si>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</si>
  <si>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</si>
  <si>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</si>
  <si>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</si>
  <si>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</si>
  <si>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</si>
  <si>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</si>
  <si>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</si>
  <si>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</si>
  <si>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</si>
  <si>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</si>
  <si>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</si>
  <si>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</si>
  <si>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</si>
  <si>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</si>
  <si>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</si>
  <si>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</si>
  <si>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</si>
  <si>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</si>
  <si>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</si>
  <si>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</si>
  <si>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</si>
  <si>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</si>
  <si>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</si>
  <si>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</si>
  <si>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</si>
  <si>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</si>
  <si>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</si>
  <si>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</si>
  <si>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</si>
  <si>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</si>
  <si>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</si>
  <si>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</si>
  <si>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</si>
  <si>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</si>
  <si>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</si>
  <si>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</si>
  <si>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</si>
  <si>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</si>
  <si>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</si>
  <si>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</si>
  <si>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</si>
  <si>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</si>
  <si>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</si>
  <si>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</si>
  <si>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</si>
  <si>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</si>
  <si>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</si>
  <si>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</si>
  <si>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</si>
  <si>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</si>
  <si>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</si>
  <si>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</si>
  <si>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</si>
  <si>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</si>
  <si>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</si>
  <si>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</si>
  <si>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</si>
  <si>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</si>
  <si>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</si>
  <si>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</si>
  <si>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</si>
  <si>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</si>
  <si>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</si>
  <si>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</si>
  <si>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</si>
  <si>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</si>
  <si>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</si>
  <si>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</si>
  <si>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</si>
  <si>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</si>
  <si>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</si>
  <si>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</si>
  <si>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</si>
  <si>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</si>
  <si>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</si>
  <si>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</si>
  <si>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</si>
  <si>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</si>
  <si>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</si>
  <si>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</si>
  <si>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</si>
  <si>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</si>
  <si>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</si>
  <si>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</si>
  <si>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</si>
  <si>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</si>
  <si>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</si>
  <si>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</si>
  <si>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</si>
  <si>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</si>
  <si>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</si>
  <si>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</si>
  <si>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</si>
  <si>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</si>
  <si>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</si>
  <si>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</si>
  <si>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</si>
  <si>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</si>
  <si>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</si>
  <si>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</si>
  <si>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</si>
  <si>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</si>
  <si>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</si>
  <si>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</si>
  <si>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</si>
  <si>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</si>
  <si>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</si>
  <si>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</si>
  <si>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</si>
  <si>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</si>
  <si>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</si>
  <si>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</si>
  <si>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</si>
  <si>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</si>
  <si>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</si>
  <si>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</si>
  <si>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</si>
  <si>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</si>
  <si>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</si>
  <si>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</si>
  <si>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</si>
  <si>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</si>
  <si>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</si>
  <si>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</si>
  <si>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</si>
  <si>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</si>
  <si>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</si>
  <si>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</si>
  <si>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</si>
  <si>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</si>
  <si>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</si>
  <si>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</si>
  <si>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</si>
  <si>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</si>
  <si>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</si>
  <si>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</si>
  <si>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</si>
  <si>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</si>
  <si>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</si>
  <si>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</si>
  <si>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</si>
  <si>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</si>
  <si>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</si>
  <si>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</si>
  <si>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</si>
  <si>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</si>
  <si>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</si>
  <si>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</si>
  <si>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</si>
  <si>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</si>
  <si>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</si>
  <si>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</si>
  <si>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</si>
  <si>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</si>
  <si>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</si>
  <si>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</si>
  <si>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</si>
  <si>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</si>
  <si>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</si>
  <si>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</si>
  <si>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</si>
  <si>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</si>
  <si>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</si>
  <si>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</si>
  <si>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</si>
  <si>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</si>
  <si>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</si>
  <si>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</si>
  <si>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</si>
  <si>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</si>
  <si>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</si>
  <si>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</si>
  <si>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</si>
  <si>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</si>
  <si>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</si>
  <si>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</si>
  <si>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</si>
  <si>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</si>
  <si>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</si>
  <si>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</si>
  <si>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</si>
  <si>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</si>
  <si>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</si>
  <si>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</si>
  <si>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</si>
  <si>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</si>
  <si>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</si>
  <si>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</si>
  <si>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</si>
  <si>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</si>
  <si>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</si>
  <si>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</si>
  <si>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</si>
  <si>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</si>
  <si>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</si>
  <si>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</si>
  <si>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</si>
  <si>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</si>
  <si>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</si>
  <si>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</si>
  <si>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</si>
  <si>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</si>
  <si>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</si>
  <si>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</si>
  <si>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</si>
  <si>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</si>
  <si>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</si>
  <si>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</si>
  <si>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</si>
  <si>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</si>
  <si>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</si>
  <si>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</si>
  <si>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</si>
  <si>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</si>
  <si>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</si>
  <si>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</si>
  <si>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</si>
  <si>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</si>
  <si>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</si>
  <si>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</si>
  <si>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</si>
  <si>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</si>
  <si>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</si>
  <si>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</si>
  <si>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</si>
  <si>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</si>
  <si>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</si>
  <si>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</si>
  <si>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</si>
  <si>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</si>
  <si>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</si>
  <si>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</si>
  <si>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</si>
  <si>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</si>
  <si>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</si>
  <si>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</si>
  <si>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</si>
  <si>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</si>
  <si>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</si>
  <si>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</si>
  <si>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</si>
  <si>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</si>
  <si>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</si>
  <si>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</si>
  <si>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</si>
  <si>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</si>
  <si>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</si>
  <si>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</si>
  <si>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</si>
  <si>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</si>
  <si>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</si>
  <si>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</si>
  <si>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</si>
  <si>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</si>
  <si>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</si>
  <si>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</si>
  <si>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</si>
  <si>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</si>
  <si>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</si>
  <si>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</si>
  <si>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</si>
  <si>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</si>
  <si>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</si>
  <si>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</si>
  <si>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</si>
  <si>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</si>
  <si>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</si>
  <si>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</si>
  <si>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</si>
  <si>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</si>
  <si>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</si>
  <si>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</si>
  <si>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</si>
  <si>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</si>
  <si>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</si>
  <si>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</si>
  <si>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</si>
  <si>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</si>
  <si>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</si>
  <si>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</si>
  <si>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</si>
  <si>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</si>
  <si>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</si>
  <si>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</si>
  <si>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</si>
  <si>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</si>
  <si>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</si>
  <si>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</si>
  <si>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</si>
  <si>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</si>
  <si>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</si>
  <si>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</si>
  <si>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</si>
  <si>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</si>
  <si>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</si>
  <si>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</si>
  <si>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</si>
  <si>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</si>
  <si>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</si>
  <si>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</si>
  <si>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</si>
  <si>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</si>
  <si>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</si>
  <si>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</si>
  <si>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</si>
  <si>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</si>
  <si>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</si>
  <si>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</si>
  <si>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</si>
  <si>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</si>
  <si>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</si>
  <si>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</si>
  <si>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</si>
  <si>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</si>
  <si>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</si>
  <si>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</si>
  <si>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</si>
  <si>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</si>
  <si>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</si>
  <si>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</si>
  <si>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</si>
  <si>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</si>
  <si>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</si>
  <si>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</si>
  <si>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</si>
  <si>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</si>
  <si>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</si>
  <si>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</si>
  <si>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</si>
  <si>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</si>
  <si>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</si>
  <si>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</si>
  <si>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</si>
  <si>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</si>
  <si>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</si>
  <si>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</si>
  <si>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</si>
  <si>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</si>
  <si>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</si>
  <si>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</si>
  <si>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</si>
  <si>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</si>
  <si>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</si>
  <si>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</si>
  <si>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</si>
  <si>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</si>
  <si>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</si>
  <si>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</si>
  <si>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</si>
  <si>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</si>
  <si>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</si>
  <si>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</si>
  <si>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</si>
  <si>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</si>
  <si>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</si>
  <si>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</si>
  <si>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</si>
  <si>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</si>
  <si>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</si>
  <si>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</si>
  <si>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</si>
  <si>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</si>
  <si>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</si>
  <si>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</si>
  <si>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</si>
  <si>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</si>
  <si>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</si>
  <si>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</si>
  <si>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</si>
  <si>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</si>
  <si>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</si>
  <si>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</si>
  <si>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</si>
  <si>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</si>
  <si>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</si>
  <si>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</si>
  <si>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</si>
  <si>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</si>
  <si>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</si>
  <si>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</si>
  <si>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</si>
  <si>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</si>
  <si>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</si>
  <si>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</si>
  <si>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</si>
  <si>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</si>
  <si>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</si>
  <si>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</si>
  <si>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</si>
  <si>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</si>
  <si>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</si>
  <si>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</si>
  <si>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</si>
  <si>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</si>
  <si>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</si>
  <si>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</si>
  <si>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</si>
  <si>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</si>
  <si>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</si>
  <si>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</si>
  <si>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</si>
  <si>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</si>
  <si>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</si>
  <si>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</si>
  <si>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</si>
  <si>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</si>
  <si>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</si>
  <si>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</si>
  <si>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</si>
  <si>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</si>
  <si>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</si>
  <si>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</si>
  <si>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</si>
  <si>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</si>
  <si>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</si>
  <si>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</si>
  <si>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</si>
  <si>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</si>
  <si>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</si>
  <si>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</si>
  <si>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</si>
  <si>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</si>
  <si>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</si>
  <si>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</si>
  <si>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</si>
  <si>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</si>
  <si>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</si>
  <si>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</si>
  <si>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</si>
  <si>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</si>
  <si>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</si>
  <si>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</si>
  <si>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</si>
  <si>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</si>
  <si>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</si>
  <si>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</si>
  <si>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</si>
  <si>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</si>
  <si>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</si>
  <si>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</si>
  <si>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</si>
  <si>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</si>
  <si>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</si>
  <si>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</si>
  <si>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</si>
  <si>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</si>
  <si>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</si>
  <si>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</si>
  <si>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</si>
  <si>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</si>
  <si>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</si>
  <si>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</si>
  <si>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</si>
  <si>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</si>
  <si>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</si>
  <si>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</si>
  <si>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</si>
  <si>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</si>
  <si>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</si>
  <si>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</si>
  <si>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</si>
  <si>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</si>
  <si>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</si>
  <si>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</si>
  <si>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</si>
  <si>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</si>
  <si>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</si>
  <si>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</si>
  <si>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</si>
  <si>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</si>
  <si>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</si>
  <si>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</si>
  <si>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</si>
  <si>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</si>
  <si>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</si>
  <si>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</si>
  <si>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</si>
  <si>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</si>
  <si>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</si>
  <si>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</si>
  <si>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</si>
  <si>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</si>
  <si>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</si>
  <si>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</si>
  <si>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</si>
  <si>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</si>
  <si>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</si>
  <si>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</si>
  <si>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</si>
  <si>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</si>
  <si>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</si>
  <si>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</si>
  <si>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</si>
  <si>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</si>
  <si>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</si>
  <si>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</si>
  <si>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</si>
  <si>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</si>
  <si>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</si>
  <si>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</si>
  <si>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</si>
  <si>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</si>
  <si>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</si>
  <si>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</si>
  <si>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</si>
  <si>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</si>
  <si>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</si>
  <si>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</si>
  <si>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</si>
  <si>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</si>
  <si>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</si>
  <si>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</si>
  <si>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</si>
  <si>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</si>
  <si>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</si>
  <si>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</si>
  <si>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</si>
  <si>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</si>
  <si>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</si>
  <si>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</si>
  <si>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</si>
  <si>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</si>
  <si>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</si>
  <si>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</si>
  <si>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</si>
  <si>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</si>
  <si>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</si>
  <si>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</si>
  <si>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</si>
  <si>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</si>
  <si>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</si>
  <si>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</si>
  <si>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</si>
  <si>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</si>
  <si>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</si>
  <si>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</si>
  <si>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</si>
  <si>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</si>
  <si>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</si>
  <si>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</si>
  <si>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</si>
  <si>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</si>
  <si>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</si>
  <si>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</si>
  <si>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</si>
  <si>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</si>
  <si>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</si>
  <si>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</si>
  <si>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</si>
  <si>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</si>
  <si>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</si>
  <si>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</si>
  <si>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</si>
  <si>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</si>
  <si>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</si>
  <si>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</si>
  <si>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</si>
  <si>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</si>
  <si>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</si>
  <si>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</si>
  <si>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</si>
  <si>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</si>
  <si>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</si>
  <si>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</si>
  <si>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</si>
  <si>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</si>
  <si>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</si>
  <si>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</si>
  <si>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</si>
  <si>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</si>
  <si>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</si>
  <si>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</si>
  <si>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</si>
  <si>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</si>
  <si>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</si>
  <si>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</si>
  <si>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</si>
  <si>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</si>
  <si>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</si>
  <si>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</si>
  <si>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</si>
  <si>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</si>
  <si>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</si>
  <si>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</si>
  <si>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</si>
  <si>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</si>
  <si>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</si>
  <si>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</si>
  <si>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</si>
  <si>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</si>
  <si>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</si>
  <si>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</si>
  <si>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</si>
  <si>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</si>
  <si>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</si>
  <si>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</si>
  <si>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</si>
  <si>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</si>
  <si>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</si>
  <si>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</si>
  <si>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</si>
  <si>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</si>
  <si>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</si>
  <si>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</si>
  <si>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</si>
  <si>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</si>
  <si>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</si>
  <si>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</si>
  <si>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</si>
  <si>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</si>
  <si>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</si>
  <si>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</si>
  <si>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</si>
  <si>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</si>
  <si>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</si>
  <si>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</si>
  <si>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</si>
  <si>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</si>
  <si>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</si>
  <si>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</si>
  <si>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</si>
  <si>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</si>
  <si>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</si>
  <si>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</si>
  <si>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</si>
  <si>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</si>
  <si>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</si>
  <si>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</si>
  <si>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</si>
  <si>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</si>
  <si>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</si>
  <si>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</si>
  <si>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</si>
  <si>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</si>
  <si>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</si>
  <si>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</si>
  <si>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</si>
  <si>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</si>
  <si>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</si>
  <si>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</si>
  <si>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</si>
  <si>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</si>
  <si>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</si>
  <si>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</si>
  <si>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</si>
  <si>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</si>
  <si>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</si>
  <si>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</si>
  <si>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</si>
  <si>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</si>
  <si>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</si>
  <si>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</si>
  <si>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</si>
  <si>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</si>
  <si>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</si>
  <si>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</si>
  <si>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</si>
  <si>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</si>
  <si>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</si>
  <si>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</si>
  <si>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</si>
  <si>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</si>
  <si>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</si>
  <si>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</si>
  <si>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</si>
  <si>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</si>
  <si>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</si>
  <si>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</si>
  <si>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</si>
  <si>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</si>
  <si>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</si>
  <si>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</si>
  <si>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</si>
  <si>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</si>
  <si>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</si>
  <si>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</si>
  <si>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</si>
  <si>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</si>
  <si>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</si>
  <si>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</si>
  <si>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</si>
  <si>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</si>
  <si>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</si>
  <si>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</si>
  <si>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</si>
  <si>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</si>
  <si>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</si>
  <si>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</si>
  <si>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</si>
  <si>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</si>
  <si>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</si>
  <si>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</si>
  <si>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</si>
  <si>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</si>
  <si>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</si>
  <si>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</si>
  <si>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</si>
  <si>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</si>
  <si>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</si>
  <si>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</si>
  <si>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</si>
  <si>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</si>
  <si>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</si>
  <si>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</si>
  <si>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</si>
  <si>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</si>
  <si>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</si>
  <si>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</si>
  <si>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</si>
  <si>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</si>
  <si>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</si>
  <si>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</si>
  <si>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</si>
  <si>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</si>
  <si>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</si>
  <si>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</si>
  <si>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</si>
  <si>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</si>
  <si>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</si>
  <si>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</si>
  <si>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</si>
  <si>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</si>
  <si>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</si>
  <si>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</si>
  <si>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</si>
  <si>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</si>
  <si>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</si>
  <si>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</si>
  <si>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</si>
  <si>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</si>
  <si>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</si>
  <si>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</si>
  <si>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</si>
  <si>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</si>
  <si>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</si>
  <si>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</si>
  <si>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</si>
  <si>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</si>
  <si>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</si>
  <si>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</si>
  <si>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</si>
  <si>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</si>
  <si>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</si>
  <si>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</si>
  <si>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</si>
  <si>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</si>
  <si>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</si>
  <si>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</si>
  <si>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</si>
  <si>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</si>
  <si>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</si>
  <si>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</si>
  <si>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</si>
  <si>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</si>
  <si>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</si>
  <si>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</si>
  <si>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</si>
  <si>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</si>
  <si>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</si>
  <si>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</si>
  <si>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</si>
  <si>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</si>
  <si>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</si>
  <si>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</si>
  <si>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</si>
  <si>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</si>
  <si>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</si>
  <si>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</si>
  <si>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</si>
  <si>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</si>
  <si>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</si>
  <si>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</si>
  <si>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</si>
  <si>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</si>
  <si>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</si>
  <si>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</si>
  <si>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</si>
  <si>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</si>
  <si>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</si>
  <si>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</si>
  <si>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</si>
  <si>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</si>
  <si>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</si>
  <si>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</si>
  <si>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</si>
  <si>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</si>
  <si>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</si>
  <si>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</si>
  <si>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</si>
  <si>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</si>
  <si>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</si>
  <si>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</si>
  <si>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</si>
  <si>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</si>
  <si>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</si>
  <si>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</si>
  <si>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</si>
  <si>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</si>
  <si>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</si>
  <si>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</si>
  <si>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</si>
  <si>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</si>
  <si>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</si>
  <si>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</si>
  <si>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</si>
  <si>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</si>
  <si>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</si>
  <si>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</si>
  <si>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</si>
  <si>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</si>
  <si>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</si>
  <si>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</si>
  <si>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</si>
  <si>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</si>
  <si>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</si>
  <si>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</si>
  <si>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</si>
  <si>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</si>
  <si>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</si>
  <si>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</si>
  <si>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</si>
  <si>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</si>
  <si>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</si>
  <si>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上櫃</t>
  </si>
  <si>
    <t>中華食品</t>
  </si>
  <si>
    <t>世坤塑膠</t>
  </si>
  <si>
    <t>新昕纖維</t>
  </si>
  <si>
    <t>新麥企業</t>
  </si>
  <si>
    <t>高鋒工業</t>
  </si>
  <si>
    <t>福裕事業</t>
  </si>
  <si>
    <t>霖</t>
  </si>
  <si>
    <t>江興鍛壓</t>
  </si>
  <si>
    <t>協易機械</t>
  </si>
  <si>
    <t>鈦昇科技</t>
  </si>
  <si>
    <t>朋程科技</t>
  </si>
  <si>
    <t>皇田工業</t>
  </si>
  <si>
    <t>永純化工</t>
  </si>
  <si>
    <t>精華光學</t>
  </si>
  <si>
    <t>合世生醫</t>
  </si>
  <si>
    <t>杏昌生技</t>
  </si>
  <si>
    <t>進階生物</t>
  </si>
  <si>
    <t>永日化工</t>
  </si>
  <si>
    <t>百略醫學</t>
  </si>
  <si>
    <t>台灣東洋</t>
  </si>
  <si>
    <t>濟生藥廠</t>
  </si>
  <si>
    <t>優盛醫學</t>
  </si>
  <si>
    <t>中天生技</t>
  </si>
  <si>
    <t>聿新生技</t>
  </si>
  <si>
    <t>鐿鈦科技</t>
  </si>
  <si>
    <t>瑞基海洋</t>
  </si>
  <si>
    <t>安克生醫</t>
  </si>
  <si>
    <t>杏國新藥</t>
  </si>
  <si>
    <t>永昕生物</t>
  </si>
  <si>
    <t>豪展醫療</t>
  </si>
  <si>
    <t>合一生技</t>
  </si>
  <si>
    <t>強生製藥</t>
  </si>
  <si>
    <t>大江生醫</t>
  </si>
  <si>
    <t>唐榮公司</t>
  </si>
  <si>
    <t>強新工業</t>
  </si>
  <si>
    <t>有益鋼鐵</t>
  </si>
  <si>
    <t>普格科技</t>
  </si>
  <si>
    <t>鑫創科技</t>
  </si>
  <si>
    <t>欣銓科技</t>
  </si>
  <si>
    <t>尼克森微</t>
  </si>
  <si>
    <t>台灣類比</t>
  </si>
  <si>
    <t>擎泰科技</t>
  </si>
  <si>
    <t>德微科技</t>
  </si>
  <si>
    <t>廣穎電通</t>
  </si>
  <si>
    <t>信驊科技</t>
  </si>
  <si>
    <t>世紀民生</t>
  </si>
  <si>
    <t>鈺創科技</t>
  </si>
  <si>
    <t>中美矽晶</t>
  </si>
  <si>
    <t>創惟科技</t>
  </si>
  <si>
    <t>普誠科技</t>
  </si>
  <si>
    <t>茂達電子</t>
  </si>
  <si>
    <t>頎邦科技</t>
  </si>
  <si>
    <t>凌泰科技</t>
  </si>
  <si>
    <t>旺玖科技</t>
  </si>
  <si>
    <t>元隆電子</t>
  </si>
  <si>
    <t>紘康科技</t>
  </si>
  <si>
    <t>環球晶圓</t>
  </si>
  <si>
    <t>九暘電子</t>
  </si>
  <si>
    <t>宏捷科技</t>
  </si>
  <si>
    <t>商丞科技</t>
  </si>
  <si>
    <t>順達科</t>
  </si>
  <si>
    <t>茂訊電腦</t>
  </si>
  <si>
    <t>廣寰</t>
  </si>
  <si>
    <t>泓格科技</t>
  </si>
  <si>
    <t>宜鼎國際</t>
  </si>
  <si>
    <t>協益電子</t>
  </si>
  <si>
    <t>上奇科技</t>
  </si>
  <si>
    <t>群聯電子</t>
  </si>
  <si>
    <t>聯一光學</t>
  </si>
  <si>
    <t>益通光能</t>
  </si>
  <si>
    <t>先益電子</t>
  </si>
  <si>
    <t>湯石照明</t>
  </si>
  <si>
    <t>晶達光電</t>
  </si>
  <si>
    <t>光聯科技</t>
  </si>
  <si>
    <t>達威光電</t>
  </si>
  <si>
    <t>巨擘科技</t>
  </si>
  <si>
    <t>立碁電子</t>
  </si>
  <si>
    <t>華宏新技</t>
  </si>
  <si>
    <t>璟德電子</t>
  </si>
  <si>
    <t>台灣嘉碩</t>
  </si>
  <si>
    <t>東浦精密</t>
  </si>
  <si>
    <t>前鼎光電</t>
  </si>
  <si>
    <t>亞元科技</t>
  </si>
  <si>
    <t>振曜科技</t>
  </si>
  <si>
    <t>豪勉科技</t>
  </si>
  <si>
    <t>普萊德科</t>
  </si>
  <si>
    <t>凱碩科技</t>
  </si>
  <si>
    <t>天宇工業</t>
  </si>
  <si>
    <t>川寶科技</t>
  </si>
  <si>
    <t>富喬工業</t>
  </si>
  <si>
    <t>僑威科技</t>
  </si>
  <si>
    <t>志豐電子</t>
  </si>
  <si>
    <t>點晶科技</t>
  </si>
  <si>
    <t>佳穎精密</t>
  </si>
  <si>
    <t>建舜電子</t>
  </si>
  <si>
    <t>矽瑪科技</t>
  </si>
  <si>
    <t>振維電子</t>
  </si>
  <si>
    <t>凡甲科技</t>
  </si>
  <si>
    <t>湧德電子</t>
  </si>
  <si>
    <t>友銓電子</t>
  </si>
  <si>
    <t>先豐通訊</t>
  </si>
  <si>
    <t>同協電子</t>
  </si>
  <si>
    <t>霖宏科技</t>
  </si>
  <si>
    <t>德宏工業</t>
  </si>
  <si>
    <t>華韡電子</t>
  </si>
  <si>
    <t>松普科技</t>
  </si>
  <si>
    <t>連展科技</t>
  </si>
  <si>
    <t>業強科技</t>
  </si>
  <si>
    <t>信音企業</t>
  </si>
  <si>
    <t>九豪精密</t>
  </si>
  <si>
    <t>信昌電陶</t>
  </si>
  <si>
    <t>安碁科技</t>
  </si>
  <si>
    <t>幃翔精密</t>
  </si>
  <si>
    <t>艾華電子</t>
  </si>
  <si>
    <t>日揚科技</t>
  </si>
  <si>
    <t>福登精密</t>
  </si>
  <si>
    <t>泰詠電子</t>
  </si>
  <si>
    <t>佳邦科技</t>
  </si>
  <si>
    <t>良維科技</t>
  </si>
  <si>
    <t>今展科技</t>
  </si>
  <si>
    <t>蜜望實企</t>
  </si>
  <si>
    <t>鉅橡企業</t>
  </si>
  <si>
    <t>博大科技</t>
  </si>
  <si>
    <t>越峰電子</t>
  </si>
  <si>
    <t>博智電子</t>
  </si>
  <si>
    <t>金居開發</t>
  </si>
  <si>
    <t>倍微科技</t>
  </si>
  <si>
    <t>光菱電子</t>
  </si>
  <si>
    <t>志旭國際</t>
  </si>
  <si>
    <t>巨虹電子</t>
  </si>
  <si>
    <t>中菲電腦</t>
  </si>
  <si>
    <t>大同世界</t>
  </si>
  <si>
    <t>西柏科技</t>
  </si>
  <si>
    <t>閎康科技</t>
  </si>
  <si>
    <t>駿熠電子</t>
  </si>
  <si>
    <t>金利精密</t>
  </si>
  <si>
    <t>彩富電子</t>
  </si>
  <si>
    <t>三聯科技</t>
  </si>
  <si>
    <t>萬潤科技</t>
  </si>
  <si>
    <t>勝麗國際</t>
  </si>
  <si>
    <t>大園汽電</t>
  </si>
  <si>
    <t>富宇地產</t>
  </si>
  <si>
    <t>永信建設</t>
  </si>
  <si>
    <t>三豐建設</t>
  </si>
  <si>
    <t>雙喜營造</t>
  </si>
  <si>
    <t>正德海運</t>
  </si>
  <si>
    <t>臺聯貨櫃</t>
  </si>
  <si>
    <t>中連貨運</t>
  </si>
  <si>
    <t>瓦城泰統</t>
  </si>
  <si>
    <t>六角國際</t>
  </si>
  <si>
    <t>知本老爺</t>
  </si>
  <si>
    <t>日盛金控</t>
  </si>
  <si>
    <t>宏遠證券</t>
  </si>
  <si>
    <t>元大期貨</t>
  </si>
  <si>
    <t>滿心企業</t>
  </si>
  <si>
    <t>新洲全球</t>
  </si>
  <si>
    <t>全家便利</t>
  </si>
  <si>
    <t>晟田科技</t>
  </si>
  <si>
    <t>白紗科技</t>
  </si>
  <si>
    <t>沈氏藝印</t>
  </si>
  <si>
    <t>大田精密</t>
  </si>
  <si>
    <t>國統國際</t>
  </si>
  <si>
    <t>合騏工業</t>
  </si>
  <si>
    <t>鈊象電子</t>
  </si>
  <si>
    <t>宇峻奧汀</t>
  </si>
  <si>
    <t>得利影視</t>
  </si>
  <si>
    <t>環泰企業</t>
  </si>
  <si>
    <t>松懋工業</t>
  </si>
  <si>
    <t>光明絲織</t>
  </si>
  <si>
    <t>精確實業</t>
  </si>
  <si>
    <t>大恭化學</t>
  </si>
  <si>
    <t>美時製藥</t>
  </si>
  <si>
    <t>晶宇生技</t>
  </si>
  <si>
    <t>家登精密</t>
  </si>
  <si>
    <t>李洲科技</t>
  </si>
  <si>
    <t>祥業科技</t>
  </si>
  <si>
    <t>凱崴電子</t>
  </si>
  <si>
    <t>迅德興業</t>
  </si>
  <si>
    <t>尚茂電子</t>
  </si>
  <si>
    <t>星雲電腦</t>
  </si>
  <si>
    <t>德昌營造</t>
  </si>
  <si>
    <t>亞都麗緻</t>
  </si>
  <si>
    <t>大眾證券</t>
  </si>
  <si>
    <t>冠好科技</t>
  </si>
  <si>
    <t>萬國通路</t>
  </si>
  <si>
    <t>東隆興業</t>
  </si>
  <si>
    <t>飛寶動能</t>
  </si>
  <si>
    <t>金洲海洋</t>
  </si>
  <si>
    <t>興采實業</t>
  </si>
  <si>
    <t>和勤精機</t>
  </si>
  <si>
    <t>彬台科技</t>
  </si>
  <si>
    <t>永彰機電</t>
  </si>
  <si>
    <t>宏易精密</t>
  </si>
  <si>
    <t>慶騰精密</t>
  </si>
  <si>
    <t>至興精機</t>
  </si>
  <si>
    <t>擎邦國際</t>
  </si>
  <si>
    <t>唐鋒實業</t>
  </si>
  <si>
    <t>大立高</t>
  </si>
  <si>
    <t>(又又)邦</t>
  </si>
  <si>
    <t>訊聯生物</t>
  </si>
  <si>
    <t>邦特生技</t>
  </si>
  <si>
    <t>健喬信元</t>
  </si>
  <si>
    <t>天良生技</t>
  </si>
  <si>
    <t>聯合骨科</t>
  </si>
  <si>
    <t>曜亞國際</t>
  </si>
  <si>
    <t>盛弘醫藥</t>
  </si>
  <si>
    <t>建錩實業</t>
  </si>
  <si>
    <t>松和工業</t>
  </si>
  <si>
    <t>恒耀國際</t>
  </si>
  <si>
    <t>笙泉科技</t>
  </si>
  <si>
    <t>倚強科技</t>
  </si>
  <si>
    <t>威剛科技</t>
  </si>
  <si>
    <t>逸昌科技</t>
  </si>
  <si>
    <t>博磊科技</t>
  </si>
  <si>
    <t>立衛科技</t>
  </si>
  <si>
    <t>誠遠科技</t>
  </si>
  <si>
    <t>協禧電機</t>
  </si>
  <si>
    <t>信億科技</t>
  </si>
  <si>
    <t>旭品科技</t>
  </si>
  <si>
    <t>安勤科技</t>
  </si>
  <si>
    <t>曜越科技</t>
  </si>
  <si>
    <t>青雲國際</t>
  </si>
  <si>
    <t>東友科技</t>
  </si>
  <si>
    <t>聰泰科技</t>
  </si>
  <si>
    <t>瑞傳科技</t>
  </si>
  <si>
    <t>撼訊科技</t>
  </si>
  <si>
    <t>欣技資訊</t>
  </si>
  <si>
    <t>廣明光電</t>
  </si>
  <si>
    <t>上揚科技</t>
  </si>
  <si>
    <t>全譜科技</t>
  </si>
  <si>
    <t>崴強科技</t>
  </si>
  <si>
    <t>廣積科技</t>
  </si>
  <si>
    <t>伍豐科技</t>
  </si>
  <si>
    <t>昇銳電子</t>
  </si>
  <si>
    <t>錦明實</t>
  </si>
  <si>
    <t>泰谷光電</t>
  </si>
  <si>
    <t>先進光電</t>
  </si>
  <si>
    <t>迎輝科技</t>
  </si>
  <si>
    <t>安可光電</t>
  </si>
  <si>
    <t>卓韋光電</t>
  </si>
  <si>
    <t>揚華</t>
  </si>
  <si>
    <t>兆遠科技</t>
  </si>
  <si>
    <t>均豪精密</t>
  </si>
  <si>
    <t>久正光電</t>
  </si>
  <si>
    <t>晶采光電</t>
  </si>
  <si>
    <t>元太科技</t>
  </si>
  <si>
    <t>鼎天國際</t>
  </si>
  <si>
    <t>長天科技</t>
  </si>
  <si>
    <t>昇達科技</t>
  </si>
  <si>
    <t>聯光通信</t>
  </si>
  <si>
    <t>台聯電訊</t>
  </si>
  <si>
    <t>系通科技</t>
  </si>
  <si>
    <t>台林電通</t>
  </si>
  <si>
    <t>立端科技</t>
  </si>
  <si>
    <t>榮群電訊</t>
  </si>
  <si>
    <t>德勝科技</t>
  </si>
  <si>
    <t>常珵科技</t>
  </si>
  <si>
    <t>好德科技</t>
  </si>
  <si>
    <t>樺晟電子</t>
  </si>
  <si>
    <t>優群科技</t>
  </si>
  <si>
    <t>律勝科技</t>
  </si>
  <si>
    <t>長盛科技</t>
  </si>
  <si>
    <t>系統電子</t>
  </si>
  <si>
    <t>華容公司</t>
  </si>
  <si>
    <t>建榮工業</t>
  </si>
  <si>
    <t>合正科技</t>
  </si>
  <si>
    <t>統盟電子</t>
  </si>
  <si>
    <t>華美電子</t>
  </si>
  <si>
    <t>久威國際</t>
  </si>
  <si>
    <t>萬旭電業</t>
  </si>
  <si>
    <t>松上電子</t>
  </si>
  <si>
    <t>育富電子</t>
  </si>
  <si>
    <t>慶生電子</t>
  </si>
  <si>
    <t>保銳科技</t>
  </si>
  <si>
    <t>正淩精工</t>
  </si>
  <si>
    <t>加高電子</t>
  </si>
  <si>
    <t>英格爾科</t>
  </si>
  <si>
    <t>泰藝電子</t>
  </si>
  <si>
    <t>利機企業</t>
  </si>
  <si>
    <t>安馳科技</t>
  </si>
  <si>
    <t>亞矽科技</t>
  </si>
  <si>
    <t>建達國際</t>
  </si>
  <si>
    <t>佳營</t>
  </si>
  <si>
    <t>大塚資訊</t>
  </si>
  <si>
    <t>緯創軟體</t>
  </si>
  <si>
    <t>凱衛資訊</t>
  </si>
  <si>
    <t>力新國際</t>
  </si>
  <si>
    <t>新鼎系統</t>
  </si>
  <si>
    <t>凌網科技</t>
  </si>
  <si>
    <t>天剛資訊</t>
  </si>
  <si>
    <t>國眾電腦</t>
  </si>
  <si>
    <t>訊達電腦</t>
  </si>
  <si>
    <t>松崗資產</t>
  </si>
  <si>
    <t>網路家庭</t>
  </si>
  <si>
    <t>宜特科技</t>
  </si>
  <si>
    <t>雙鴻科技</t>
  </si>
  <si>
    <t>陽程科技</t>
  </si>
  <si>
    <t>友威科技</t>
  </si>
  <si>
    <t>盈正豫順</t>
  </si>
  <si>
    <t>鑫科材料</t>
  </si>
  <si>
    <t>漢康科技</t>
  </si>
  <si>
    <t>晉倫科技</t>
  </si>
  <si>
    <t>元山科技</t>
  </si>
  <si>
    <t>建暐精密</t>
  </si>
  <si>
    <t>台灣精星</t>
  </si>
  <si>
    <t>綠意開發</t>
  </si>
  <si>
    <t>亞昕國際</t>
  </si>
  <si>
    <t>力泰建設</t>
  </si>
  <si>
    <t>富旺國際</t>
  </si>
  <si>
    <t>台驊投控</t>
  </si>
  <si>
    <t>圓方創新</t>
  </si>
  <si>
    <t>康和證券</t>
  </si>
  <si>
    <t>精剛精密</t>
  </si>
  <si>
    <t>耀億工業</t>
  </si>
  <si>
    <t>智基科技</t>
  </si>
  <si>
    <t>崑鼎投控</t>
  </si>
  <si>
    <t>裕國冷凍</t>
  </si>
  <si>
    <t>花王企業</t>
  </si>
  <si>
    <t>宏大拉鍊</t>
  </si>
  <si>
    <t>泰偉電子</t>
  </si>
  <si>
    <t>中華網龍</t>
  </si>
  <si>
    <t>華義國際</t>
  </si>
  <si>
    <t>樂陞科技</t>
  </si>
  <si>
    <t>紅心辣椒</t>
  </si>
  <si>
    <t>智崴資訊</t>
  </si>
  <si>
    <t>大宇資訊</t>
  </si>
  <si>
    <t>昱泉國際</t>
  </si>
  <si>
    <t>遊戲橘子</t>
  </si>
  <si>
    <t>華研音樂</t>
  </si>
  <si>
    <t>時報文化</t>
  </si>
  <si>
    <t>天品聯合</t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</si>
  <si>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</si>
  <si>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</si>
  <si>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</si>
  <si>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</si>
  <si>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</si>
  <si>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</si>
  <si>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</si>
  <si>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</si>
  <si>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</si>
  <si>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</si>
  <si>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</si>
  <si>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</si>
  <si>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</si>
  <si>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</si>
  <si>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</si>
  <si>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</si>
  <si>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</si>
  <si>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</si>
  <si>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</si>
  <si>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</si>
  <si>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</si>
  <si>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</si>
  <si>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</si>
  <si>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</si>
  <si>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</si>
  <si>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</si>
  <si>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</si>
  <si>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</si>
  <si>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</si>
  <si>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</si>
  <si>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</si>
  <si>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</si>
  <si>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</si>
  <si>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</si>
  <si>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</si>
  <si>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</si>
  <si>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凱基證券下單</t>
  </si>
  <si>
    <t>單位：仟元</t>
  </si>
  <si>
    <t>年/月</t>
  </si>
  <si>
    <t>合併營收</t>
  </si>
  <si>
    <t>月增率</t>
  </si>
  <si>
    <t>去年同期</t>
  </si>
  <si>
    <t>年增率</t>
  </si>
  <si>
    <t>累計營收</t>
  </si>
  <si>
    <t>104/10</t>
  </si>
  <si>
    <t>104/09</t>
  </si>
  <si>
    <t>104/08</t>
  </si>
  <si>
    <t>104/07</t>
  </si>
  <si>
    <t>104/06</t>
  </si>
  <si>
    <t>104/05</t>
  </si>
  <si>
    <t>104/04</t>
  </si>
  <si>
    <t>104/03</t>
  </si>
  <si>
    <t>104/02</t>
  </si>
  <si>
    <t>104/01</t>
  </si>
  <si>
    <t>103/12</t>
  </si>
  <si>
    <t>103/11</t>
  </si>
  <si>
    <t>103/10</t>
  </si>
  <si>
    <t>103/09</t>
  </si>
  <si>
    <t>103/08</t>
  </si>
  <si>
    <t>103/07</t>
  </si>
  <si>
    <t>103/06</t>
  </si>
  <si>
    <t>103/05</t>
  </si>
  <si>
    <t>103/04</t>
  </si>
  <si>
    <t>103/03</t>
  </si>
  <si>
    <t>103/02</t>
  </si>
  <si>
    <t>103/01</t>
  </si>
  <si>
    <t>102/12</t>
  </si>
  <si>
    <t>102/11</t>
  </si>
  <si>
    <t>102/10</t>
  </si>
  <si>
    <t>102/09</t>
  </si>
  <si>
    <t>102/08</t>
  </si>
  <si>
    <t>102/07</t>
  </si>
  <si>
    <t>102/06</t>
  </si>
  <si>
    <t>102/05</t>
  </si>
  <si>
    <t>102/04</t>
  </si>
  <si>
    <t>102/03</t>
  </si>
  <si>
    <t>102/02</t>
  </si>
  <si>
    <t>102/01</t>
  </si>
  <si>
    <t>101/12</t>
  </si>
  <si>
    <t>101/11</t>
  </si>
  <si>
    <t>101/10</t>
  </si>
  <si>
    <t>101/09</t>
  </si>
  <si>
    <t>101/08</t>
  </si>
  <si>
    <t>101/07</t>
  </si>
  <si>
    <t>101/06</t>
  </si>
  <si>
    <t>101/05</t>
  </si>
  <si>
    <t>101/04</t>
  </si>
  <si>
    <t>101/03</t>
  </si>
  <si>
    <t>101/02</t>
  </si>
  <si>
    <t>101/01</t>
  </si>
  <si>
    <t>100/12</t>
  </si>
  <si>
    <t>100/11</t>
  </si>
  <si>
    <t>說明：自2013年起上市櫃公司因IFRSs會計準則規範，每月公告的營收必須是合併營收，不再公告非合併營收。2012年(含)前，合併營收是採自願公告。</t>
  </si>
  <si>
    <t>104_10</t>
    <phoneticPr fontId="2" type="noConversion"/>
  </si>
  <si>
    <t>志嘉建設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</si>
  <si>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</si>
  <si>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</si>
  <si>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</si>
  <si>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</si>
  <si>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</si>
  <si>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</si>
  <si>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</si>
  <si>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</si>
  <si>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</si>
  <si>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</si>
  <si>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</si>
  <si>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 xml:space="preserve">有益(9962) </t>
  </si>
  <si>
    <t>有益(9962) 年度營收走勢圖</t>
  </si>
  <si>
    <t>有益(9962)月營收明細</t>
  </si>
  <si>
    <t>營收B</t>
  </si>
  <si>
    <t>基本面_財務分析</t>
    <phoneticPr fontId="2" type="noConversion"/>
  </si>
  <si>
    <t>中裕</t>
  </si>
  <si>
    <t>健信</t>
  </si>
  <si>
    <t>105.1Q</t>
  </si>
  <si>
    <t>104.4Q</t>
  </si>
  <si>
    <t>1570</t>
  </si>
  <si>
    <t>力肯(1570)</t>
  </si>
  <si>
    <t>力肯（1570）</t>
  </si>
  <si>
    <t>1570力肯</t>
  </si>
  <si>
    <t xml:space="preserve">△0.20 </t>
  </si>
  <si>
    <t xml:space="preserve">力肯(1570)      市價：14.8  元             PE = </t>
    <phoneticPr fontId="2" type="noConversion"/>
  </si>
</sst>
</file>

<file path=xl/styles.xml><?xml version="1.0" encoding="utf-8"?>
<styleSheet xmlns="http://schemas.openxmlformats.org/spreadsheetml/2006/main">
  <numFmts count="10"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_-;\-* #,##0_-;_-* &quot;-&quot;??_-;_-@_-"/>
    <numFmt numFmtId="178" formatCode="0_);[Red]\(0\)"/>
    <numFmt numFmtId="179" formatCode="0_ "/>
    <numFmt numFmtId="180" formatCode="0.00_ "/>
    <numFmt numFmtId="181" formatCode="m&quot;月&quot;d&quot;日&quot;"/>
    <numFmt numFmtId="182" formatCode="_(* #,##0_);_(* \(#,##0\);_(* &quot;-&quot;??_);_(@_)"/>
    <numFmt numFmtId="183" formatCode="yyyymmdd"/>
    <numFmt numFmtId="184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0"/>
      <color rgb="FF000000"/>
      <name val="繚s簡?穢繳?矇"/>
      <family val="3"/>
      <charset val="136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FF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72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43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43" fontId="17" fillId="9" borderId="0" xfId="1" applyFont="1" applyFill="1" applyAlignment="1">
      <alignment horizontal="center" wrapText="1"/>
    </xf>
    <xf numFmtId="181" fontId="0" fillId="0" borderId="0" xfId="0" applyNumberFormat="1" applyFont="1" applyFill="1">
      <alignment vertical="center"/>
    </xf>
    <xf numFmtId="43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2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43" fontId="36" fillId="0" borderId="9" xfId="1" applyFont="1" applyBorder="1" applyAlignment="1">
      <alignment horizontal="center" vertical="center" wrapText="1"/>
    </xf>
    <xf numFmtId="182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43" fontId="4" fillId="20" borderId="13" xfId="1" applyFont="1" applyFill="1" applyBorder="1" applyAlignment="1">
      <alignment horizontal="center" vertical="center"/>
    </xf>
    <xf numFmtId="43" fontId="9" fillId="5" borderId="2" xfId="1" applyFont="1" applyFill="1" applyBorder="1" applyAlignment="1">
      <alignment horizontal="left" vertical="center"/>
    </xf>
    <xf numFmtId="0" fontId="5" fillId="0" borderId="0" xfId="3">
      <alignment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43" fontId="0" fillId="0" borderId="0" xfId="1" applyFont="1" applyFill="1" applyAlignment="1">
      <alignment horizontal="right" vertical="center"/>
    </xf>
    <xf numFmtId="43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176" fontId="0" fillId="0" borderId="0" xfId="0" applyNumberFormat="1">
      <alignment vertical="center"/>
    </xf>
    <xf numFmtId="43" fontId="4" fillId="20" borderId="30" xfId="1" applyFont="1" applyFill="1" applyBorder="1" applyAlignment="1">
      <alignment horizontal="center" vertical="center"/>
    </xf>
    <xf numFmtId="182" fontId="3" fillId="20" borderId="9" xfId="1" applyNumberFormat="1" applyFont="1" applyFill="1" applyBorder="1">
      <alignment vertical="center"/>
    </xf>
    <xf numFmtId="10" fontId="3" fillId="20" borderId="9" xfId="0" applyNumberFormat="1" applyFont="1" applyFill="1" applyBorder="1">
      <alignment vertical="center"/>
    </xf>
    <xf numFmtId="43" fontId="3" fillId="20" borderId="9" xfId="1" applyFont="1" applyFill="1" applyBorder="1">
      <alignment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2" fontId="0" fillId="9" borderId="9" xfId="1" applyNumberFormat="1" applyFont="1" applyFill="1" applyBorder="1">
      <alignment vertical="center"/>
    </xf>
    <xf numFmtId="182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43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43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43" fontId="41" fillId="14" borderId="0" xfId="1" applyFont="1" applyFill="1" applyBorder="1" applyAlignment="1">
      <alignment vertical="center"/>
    </xf>
    <xf numFmtId="182" fontId="41" fillId="14" borderId="7" xfId="1" applyNumberFormat="1" applyFont="1" applyFill="1" applyBorder="1" applyAlignment="1">
      <alignment vertical="center"/>
    </xf>
    <xf numFmtId="176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3" fillId="20" borderId="32" xfId="0" applyFont="1" applyFill="1" applyBorder="1">
      <alignment vertical="center"/>
    </xf>
    <xf numFmtId="2" fontId="3" fillId="20" borderId="32" xfId="1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3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2" fontId="3" fillId="2" borderId="0" xfId="1" applyNumberFormat="1" applyFont="1" applyFill="1" applyBorder="1">
      <alignment vertical="center"/>
    </xf>
    <xf numFmtId="0" fontId="3" fillId="20" borderId="10" xfId="0" applyFont="1" applyFill="1" applyBorder="1">
      <alignment vertical="center"/>
    </xf>
    <xf numFmtId="182" fontId="3" fillId="20" borderId="8" xfId="1" applyNumberFormat="1" applyFont="1" applyFill="1" applyBorder="1">
      <alignment vertical="center"/>
    </xf>
    <xf numFmtId="0" fontId="3" fillId="20" borderId="17" xfId="0" applyFont="1" applyFill="1" applyBorder="1">
      <alignment vertical="center"/>
    </xf>
    <xf numFmtId="0" fontId="3" fillId="20" borderId="31" xfId="0" applyFont="1" applyFill="1" applyBorder="1">
      <alignment vertical="center"/>
    </xf>
    <xf numFmtId="10" fontId="3" fillId="20" borderId="31" xfId="0" applyNumberFormat="1" applyFont="1" applyFill="1" applyBorder="1">
      <alignment vertical="center"/>
    </xf>
    <xf numFmtId="0" fontId="3" fillId="20" borderId="11" xfId="0" applyFont="1" applyFill="1" applyBorder="1">
      <alignment vertical="center"/>
    </xf>
    <xf numFmtId="43" fontId="3" fillId="20" borderId="12" xfId="1" applyFont="1" applyFill="1" applyBorder="1">
      <alignment vertical="center"/>
    </xf>
    <xf numFmtId="2" fontId="3" fillId="20" borderId="20" xfId="1" applyNumberFormat="1" applyFont="1" applyFill="1" applyBorder="1" applyAlignment="1">
      <alignment horizontal="left" vertical="center"/>
    </xf>
    <xf numFmtId="0" fontId="3" fillId="9" borderId="10" xfId="0" applyFont="1" applyFill="1" applyBorder="1">
      <alignment vertical="center"/>
    </xf>
    <xf numFmtId="0" fontId="3" fillId="9" borderId="17" xfId="0" applyFont="1" applyFill="1" applyBorder="1">
      <alignment vertical="center"/>
    </xf>
    <xf numFmtId="0" fontId="3" fillId="9" borderId="31" xfId="0" applyFont="1" applyFill="1" applyBorder="1">
      <alignment vertical="center"/>
    </xf>
    <xf numFmtId="0" fontId="3" fillId="9" borderId="32" xfId="0" applyFont="1" applyFill="1" applyBorder="1">
      <alignment vertical="center"/>
    </xf>
    <xf numFmtId="0" fontId="0" fillId="9" borderId="20" xfId="0" applyFill="1" applyBorder="1">
      <alignment vertical="center"/>
    </xf>
    <xf numFmtId="43" fontId="3" fillId="9" borderId="9" xfId="1" applyFont="1" applyFill="1" applyBorder="1" applyAlignment="1">
      <alignment horizontal="right" vertical="center"/>
    </xf>
    <xf numFmtId="0" fontId="3" fillId="9" borderId="11" xfId="0" applyFont="1" applyFill="1" applyBorder="1">
      <alignment vertical="center"/>
    </xf>
    <xf numFmtId="0" fontId="35" fillId="9" borderId="12" xfId="0" applyFont="1" applyFill="1" applyBorder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43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2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43" fontId="0" fillId="0" borderId="0" xfId="1" applyFont="1" applyFill="1">
      <alignment vertical="center"/>
    </xf>
    <xf numFmtId="182" fontId="0" fillId="0" borderId="0" xfId="1" applyNumberFormat="1" applyFont="1" applyFill="1">
      <alignment vertical="center"/>
    </xf>
    <xf numFmtId="182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2" fontId="3" fillId="0" borderId="9" xfId="1" applyNumberFormat="1" applyFont="1" applyFill="1" applyBorder="1" applyAlignment="1">
      <alignment horizontal="center" vertical="center"/>
    </xf>
    <xf numFmtId="182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182" fontId="3" fillId="9" borderId="9" xfId="1" applyNumberFormat="1" applyFont="1" applyFill="1" applyBorder="1">
      <alignment vertical="center"/>
    </xf>
    <xf numFmtId="43" fontId="3" fillId="9" borderId="8" xfId="1" applyNumberFormat="1" applyFont="1" applyFill="1" applyBorder="1">
      <alignment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4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43" fontId="0" fillId="2" borderId="0" xfId="1" applyFont="1" applyFill="1">
      <alignment vertical="center"/>
    </xf>
    <xf numFmtId="0" fontId="0" fillId="13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3" borderId="0" xfId="0" applyFill="1" applyAlignment="1">
      <alignment horizontal="center" vertical="center" wrapText="1"/>
    </xf>
    <xf numFmtId="9" fontId="0" fillId="0" borderId="0" xfId="2" applyFont="1">
      <alignment vertical="center"/>
    </xf>
    <xf numFmtId="9" fontId="0" fillId="23" borderId="0" xfId="2" applyFont="1" applyFill="1" applyAlignment="1">
      <alignment horizontal="center" vertical="center" wrapText="1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4" fontId="0" fillId="0" borderId="0" xfId="0" applyNumberFormat="1">
      <alignment vertical="center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21" borderId="0" xfId="2" applyNumberFormat="1" applyFont="1" applyFill="1" applyAlignment="1">
      <alignment horizontal="center" vertical="center" wrapText="1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3" fontId="18" fillId="0" borderId="0" xfId="4" applyNumberFormat="1"/>
    <xf numFmtId="182" fontId="17" fillId="9" borderId="0" xfId="1" applyNumberFormat="1" applyFont="1" applyFill="1" applyAlignment="1">
      <alignment horizontal="center"/>
    </xf>
    <xf numFmtId="182" fontId="0" fillId="0" borderId="0" xfId="1" applyNumberFormat="1" applyFont="1">
      <alignment vertical="center"/>
    </xf>
    <xf numFmtId="182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57" fillId="0" borderId="0" xfId="0" applyFont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8" fillId="2" borderId="1" xfId="0" applyFont="1" applyFill="1" applyBorder="1" applyAlignment="1">
      <alignment horizontal="center" vertical="center"/>
    </xf>
    <xf numFmtId="0" fontId="58" fillId="2" borderId="2" xfId="0" applyFont="1" applyFill="1" applyBorder="1" applyAlignment="1">
      <alignment horizontal="center" vertical="center"/>
    </xf>
    <xf numFmtId="0" fontId="58" fillId="2" borderId="3" xfId="0" applyFont="1" applyFill="1" applyBorder="1" applyAlignment="1">
      <alignment horizontal="center" vertical="center"/>
    </xf>
    <xf numFmtId="0" fontId="59" fillId="2" borderId="6" xfId="0" applyFont="1" applyFill="1" applyBorder="1">
      <alignment vertical="center"/>
    </xf>
    <xf numFmtId="0" fontId="59" fillId="2" borderId="0" xfId="0" applyFont="1" applyFill="1" applyBorder="1">
      <alignment vertical="center"/>
    </xf>
    <xf numFmtId="0" fontId="59" fillId="2" borderId="7" xfId="0" applyFont="1" applyFill="1" applyBorder="1">
      <alignment vertical="center"/>
    </xf>
    <xf numFmtId="0" fontId="59" fillId="2" borderId="14" xfId="0" applyFont="1" applyFill="1" applyBorder="1">
      <alignment vertical="center"/>
    </xf>
    <xf numFmtId="0" fontId="59" fillId="2" borderId="15" xfId="0" applyFont="1" applyFill="1" applyBorder="1">
      <alignment vertical="center"/>
    </xf>
    <xf numFmtId="0" fontId="59" fillId="2" borderId="16" xfId="0" applyFont="1" applyFill="1" applyBorder="1">
      <alignment vertical="center"/>
    </xf>
    <xf numFmtId="0" fontId="59" fillId="2" borderId="1" xfId="0" applyFont="1" applyFill="1" applyBorder="1">
      <alignment vertical="center"/>
    </xf>
    <xf numFmtId="0" fontId="59" fillId="2" borderId="2" xfId="0" applyFont="1" applyFill="1" applyBorder="1">
      <alignment vertical="center"/>
    </xf>
    <xf numFmtId="0" fontId="59" fillId="2" borderId="3" xfId="0" applyFont="1" applyFill="1" applyBorder="1">
      <alignment vertical="center"/>
    </xf>
    <xf numFmtId="0" fontId="59" fillId="2" borderId="6" xfId="0" applyFont="1" applyFill="1" applyBorder="1" applyAlignment="1">
      <alignment vertical="center"/>
    </xf>
    <xf numFmtId="0" fontId="59" fillId="2" borderId="0" xfId="0" applyFont="1" applyFill="1" applyBorder="1" applyAlignment="1">
      <alignment vertical="center"/>
    </xf>
    <xf numFmtId="0" fontId="59" fillId="2" borderId="7" xfId="0" applyFont="1" applyFill="1" applyBorder="1" applyAlignment="1">
      <alignment vertical="center"/>
    </xf>
    <xf numFmtId="9" fontId="59" fillId="2" borderId="6" xfId="2" applyFont="1" applyFill="1" applyBorder="1">
      <alignment vertical="center"/>
    </xf>
    <xf numFmtId="9" fontId="59" fillId="2" borderId="0" xfId="2" applyFont="1" applyFill="1" applyBorder="1">
      <alignment vertical="center"/>
    </xf>
    <xf numFmtId="9" fontId="59" fillId="2" borderId="7" xfId="2" applyFont="1" applyFill="1" applyBorder="1">
      <alignment vertical="center"/>
    </xf>
    <xf numFmtId="178" fontId="59" fillId="2" borderId="6" xfId="0" applyNumberFormat="1" applyFont="1" applyFill="1" applyBorder="1">
      <alignment vertical="center"/>
    </xf>
    <xf numFmtId="178" fontId="59" fillId="2" borderId="0" xfId="0" applyNumberFormat="1" applyFont="1" applyFill="1" applyBorder="1">
      <alignment vertical="center"/>
    </xf>
    <xf numFmtId="178" fontId="59" fillId="2" borderId="7" xfId="0" applyNumberFormat="1" applyFont="1" applyFill="1" applyBorder="1">
      <alignment vertical="center"/>
    </xf>
    <xf numFmtId="178" fontId="59" fillId="2" borderId="6" xfId="2" applyNumberFormat="1" applyFont="1" applyFill="1" applyBorder="1">
      <alignment vertical="center"/>
    </xf>
    <xf numFmtId="178" fontId="59" fillId="2" borderId="0" xfId="2" applyNumberFormat="1" applyFont="1" applyFill="1" applyBorder="1">
      <alignment vertical="center"/>
    </xf>
    <xf numFmtId="178" fontId="59" fillId="2" borderId="7" xfId="2" applyNumberFormat="1" applyFont="1" applyFill="1" applyBorder="1">
      <alignment vertical="center"/>
    </xf>
    <xf numFmtId="38" fontId="59" fillId="2" borderId="6" xfId="2" applyNumberFormat="1" applyFont="1" applyFill="1" applyBorder="1">
      <alignment vertical="center"/>
    </xf>
    <xf numFmtId="38" fontId="59" fillId="2" borderId="0" xfId="2" applyNumberFormat="1" applyFont="1" applyFill="1" applyBorder="1">
      <alignment vertical="center"/>
    </xf>
    <xf numFmtId="38" fontId="59" fillId="2" borderId="7" xfId="2" applyNumberFormat="1" applyFont="1" applyFill="1" applyBorder="1">
      <alignment vertical="center"/>
    </xf>
    <xf numFmtId="9" fontId="59" fillId="2" borderId="6" xfId="2" applyFont="1" applyFill="1" applyBorder="1" applyAlignment="1">
      <alignment vertical="center"/>
    </xf>
    <xf numFmtId="9" fontId="59" fillId="2" borderId="0" xfId="2" applyFont="1" applyFill="1" applyBorder="1" applyAlignment="1">
      <alignment vertical="center"/>
    </xf>
    <xf numFmtId="9" fontId="59" fillId="2" borderId="7" xfId="2" applyFont="1" applyFill="1" applyBorder="1" applyAlignment="1">
      <alignment vertical="center"/>
    </xf>
    <xf numFmtId="180" fontId="59" fillId="2" borderId="6" xfId="0" applyNumberFormat="1" applyFont="1" applyFill="1" applyBorder="1">
      <alignment vertical="center"/>
    </xf>
    <xf numFmtId="180" fontId="59" fillId="2" borderId="0" xfId="0" applyNumberFormat="1" applyFont="1" applyFill="1" applyBorder="1">
      <alignment vertical="center"/>
    </xf>
    <xf numFmtId="180" fontId="59" fillId="2" borderId="7" xfId="0" applyNumberFormat="1" applyFont="1" applyFill="1" applyBorder="1">
      <alignment vertical="center"/>
    </xf>
    <xf numFmtId="179" fontId="59" fillId="2" borderId="6" xfId="2" applyNumberFormat="1" applyFont="1" applyFill="1" applyBorder="1">
      <alignment vertical="center"/>
    </xf>
    <xf numFmtId="179" fontId="59" fillId="2" borderId="0" xfId="2" applyNumberFormat="1" applyFont="1" applyFill="1" applyBorder="1">
      <alignment vertical="center"/>
    </xf>
    <xf numFmtId="179" fontId="59" fillId="2" borderId="7" xfId="2" applyNumberFormat="1" applyFont="1" applyFill="1" applyBorder="1">
      <alignment vertical="center"/>
    </xf>
    <xf numFmtId="9" fontId="59" fillId="2" borderId="14" xfId="2" applyFont="1" applyFill="1" applyBorder="1">
      <alignment vertical="center"/>
    </xf>
    <xf numFmtId="9" fontId="59" fillId="2" borderId="15" xfId="2" applyFont="1" applyFill="1" applyBorder="1">
      <alignment vertical="center"/>
    </xf>
    <xf numFmtId="9" fontId="59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vertical="center"/>
    </xf>
    <xf numFmtId="0" fontId="4" fillId="25" borderId="37" xfId="0" applyFont="1" applyFill="1" applyBorder="1" applyAlignment="1">
      <alignment horizontal="center" vertical="center"/>
    </xf>
    <xf numFmtId="0" fontId="4" fillId="25" borderId="38" xfId="0" applyFont="1" applyFill="1" applyBorder="1" applyAlignment="1">
      <alignment horizontal="center" vertical="center"/>
    </xf>
    <xf numFmtId="0" fontId="63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0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66FF33"/>
      <color rgb="FF0066FF"/>
      <color rgb="FF0000FF"/>
      <color rgb="FFFF5050"/>
      <color rgb="FFFF33CC"/>
      <color rgb="FFFF9900"/>
      <color rgb="FF660066"/>
      <color rgb="FFCC33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603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148</c:v>
                </c:pt>
                <c:pt idx="1">
                  <c:v>151</c:v>
                </c:pt>
                <c:pt idx="2">
                  <c:v>111</c:v>
                </c:pt>
                <c:pt idx="3">
                  <c:v>175</c:v>
                </c:pt>
                <c:pt idx="4">
                  <c:v>185</c:v>
                </c:pt>
                <c:pt idx="5">
                  <c:v>190</c:v>
                </c:pt>
                <c:pt idx="6">
                  <c:v>153</c:v>
                </c:pt>
                <c:pt idx="7">
                  <c:v>182</c:v>
                </c:pt>
              </c:numCache>
            </c:numRef>
          </c:val>
        </c:ser>
        <c:gapWidth val="125"/>
        <c:axId val="159131136"/>
        <c:axId val="159132672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0.25</c:v>
                </c:pt>
                <c:pt idx="1">
                  <c:v>0.2251655629139073</c:v>
                </c:pt>
                <c:pt idx="2">
                  <c:v>0.2072072072072072</c:v>
                </c:pt>
                <c:pt idx="3">
                  <c:v>0.24571428571428572</c:v>
                </c:pt>
                <c:pt idx="4">
                  <c:v>0.25405405405405407</c:v>
                </c:pt>
                <c:pt idx="5">
                  <c:v>0.27894736842105261</c:v>
                </c:pt>
                <c:pt idx="6">
                  <c:v>0.18300653594771241</c:v>
                </c:pt>
                <c:pt idx="7">
                  <c:v>0.23076923076923078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0.25675675675675674</c:v>
                </c:pt>
                <c:pt idx="1">
                  <c:v>0.11258278145695365</c:v>
                </c:pt>
                <c:pt idx="2">
                  <c:v>5.4054054054054057E-2</c:v>
                </c:pt>
                <c:pt idx="3">
                  <c:v>0.11428571428571428</c:v>
                </c:pt>
                <c:pt idx="4">
                  <c:v>0.10810810810810811</c:v>
                </c:pt>
                <c:pt idx="5">
                  <c:v>0.21578947368421053</c:v>
                </c:pt>
                <c:pt idx="6">
                  <c:v>3.2679738562091505E-2</c:v>
                </c:pt>
                <c:pt idx="7">
                  <c:v>8.2417582417582416E-2</c:v>
                </c:pt>
              </c:numCache>
            </c:numRef>
          </c:val>
          <c:smooth val="1"/>
        </c:ser>
        <c:marker val="1"/>
        <c:axId val="159140096"/>
        <c:axId val="159138560"/>
      </c:lineChart>
      <c:catAx>
        <c:axId val="1591311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59132672"/>
        <c:crosses val="autoZero"/>
        <c:auto val="1"/>
        <c:lblAlgn val="ctr"/>
        <c:lblOffset val="100"/>
      </c:catAx>
      <c:valAx>
        <c:axId val="15913267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9131136"/>
        <c:crosses val="autoZero"/>
        <c:crossBetween val="between"/>
      </c:valAx>
      <c:valAx>
        <c:axId val="159138560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59140096"/>
        <c:crosses val="max"/>
        <c:crossBetween val="between"/>
      </c:valAx>
      <c:catAx>
        <c:axId val="159140096"/>
        <c:scaling>
          <c:orientation val="minMax"/>
        </c:scaling>
        <c:delete val="1"/>
        <c:axPos val="b"/>
        <c:tickLblPos val="none"/>
        <c:crossAx val="15913856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08"/>
          <c:y val="6.1852578105156222E-2"/>
          <c:w val="0.73786606461091042"/>
          <c:h val="0.88229882850009622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73.120860927152307</c:v>
                </c:pt>
                <c:pt idx="1">
                  <c:v>73.120860927152307</c:v>
                </c:pt>
                <c:pt idx="2">
                  <c:v>93.71621621621621</c:v>
                </c:pt>
                <c:pt idx="3">
                  <c:v>65.178571428571431</c:v>
                </c:pt>
                <c:pt idx="4">
                  <c:v>75.219594594594597</c:v>
                </c:pt>
                <c:pt idx="5">
                  <c:v>73.48026315789474</c:v>
                </c:pt>
                <c:pt idx="6">
                  <c:v>80.812908496732021</c:v>
                </c:pt>
                <c:pt idx="7">
                  <c:v>73.451236263736263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125.95619658119658</c:v>
                </c:pt>
                <c:pt idx="1">
                  <c:v>125.95619658119658</c:v>
                </c:pt>
                <c:pt idx="2">
                  <c:v>162.79829545454547</c:v>
                </c:pt>
                <c:pt idx="3">
                  <c:v>103.69318181818181</c:v>
                </c:pt>
                <c:pt idx="4">
                  <c:v>96.209239130434781</c:v>
                </c:pt>
                <c:pt idx="5">
                  <c:v>93.914233576642346</c:v>
                </c:pt>
                <c:pt idx="6">
                  <c:v>102.565</c:v>
                </c:pt>
                <c:pt idx="7">
                  <c:v>115.69196428571429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88.520299145299148</c:v>
                </c:pt>
                <c:pt idx="1">
                  <c:v>88.520299145299148</c:v>
                </c:pt>
                <c:pt idx="2">
                  <c:v>99.545454545454547</c:v>
                </c:pt>
                <c:pt idx="3">
                  <c:v>68.091856060606062</c:v>
                </c:pt>
                <c:pt idx="4">
                  <c:v>82.984601449275374</c:v>
                </c:pt>
                <c:pt idx="5">
                  <c:v>88.252737226277375</c:v>
                </c:pt>
                <c:pt idx="6">
                  <c:v>90.155000000000001</c:v>
                </c:pt>
                <c:pt idx="7">
                  <c:v>102.65625</c:v>
                </c:pt>
              </c:numCache>
            </c:numRef>
          </c:val>
          <c:smooth val="1"/>
        </c:ser>
        <c:marker val="1"/>
        <c:axId val="168319232"/>
        <c:axId val="168333312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92E-2"/>
                  <c:y val="-0.11629689107034591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68336384"/>
        <c:axId val="168334848"/>
      </c:lineChart>
      <c:catAx>
        <c:axId val="16831923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68333312"/>
        <c:crosses val="autoZero"/>
        <c:auto val="1"/>
        <c:lblAlgn val="ctr"/>
        <c:lblOffset val="100"/>
      </c:catAx>
      <c:valAx>
        <c:axId val="168333312"/>
        <c:scaling>
          <c:orientation val="minMax"/>
          <c:max val="196.35795454545456"/>
          <c:min val="51.142857142857146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68319232"/>
        <c:crosses val="autoZero"/>
        <c:crossBetween val="between"/>
      </c:valAx>
      <c:valAx>
        <c:axId val="16833484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68336384"/>
        <c:crosses val="max"/>
        <c:crossBetween val="between"/>
      </c:valAx>
      <c:catAx>
        <c:axId val="168336384"/>
        <c:scaling>
          <c:orientation val="minMax"/>
        </c:scaling>
        <c:delete val="1"/>
        <c:axPos val="b"/>
        <c:tickLblPos val="none"/>
        <c:crossAx val="16833484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458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2</c:v>
                </c:pt>
                <c:pt idx="1">
                  <c:v>18</c:v>
                </c:pt>
                <c:pt idx="2">
                  <c:v>18</c:v>
                </c:pt>
                <c:pt idx="3">
                  <c:v>23</c:v>
                </c:pt>
                <c:pt idx="4">
                  <c:v>32</c:v>
                </c:pt>
                <c:pt idx="5">
                  <c:v>68</c:v>
                </c:pt>
                <c:pt idx="6">
                  <c:v>31</c:v>
                </c:pt>
                <c:pt idx="7">
                  <c:v>-17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-5</c:v>
                </c:pt>
                <c:pt idx="1">
                  <c:v>12</c:v>
                </c:pt>
                <c:pt idx="2">
                  <c:v>10</c:v>
                </c:pt>
                <c:pt idx="3">
                  <c:v>19</c:v>
                </c:pt>
                <c:pt idx="4">
                  <c:v>28</c:v>
                </c:pt>
                <c:pt idx="5">
                  <c:v>65</c:v>
                </c:pt>
                <c:pt idx="6">
                  <c:v>6</c:v>
                </c:pt>
                <c:pt idx="7">
                  <c:v>-20</c:v>
                </c:pt>
              </c:numCache>
            </c:numRef>
          </c:val>
        </c:ser>
        <c:gapWidth val="100"/>
        <c:axId val="169819136"/>
        <c:axId val="169845504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0.2295839753466872</c:v>
                </c:pt>
                <c:pt idx="1">
                  <c:v>0.22604790419161677</c:v>
                </c:pt>
                <c:pt idx="2">
                  <c:v>0.19135802469135801</c:v>
                </c:pt>
                <c:pt idx="3">
                  <c:v>0.22727272727272727</c:v>
                </c:pt>
                <c:pt idx="4">
                  <c:v>0.2305593451568895</c:v>
                </c:pt>
                <c:pt idx="5">
                  <c:v>0.22506393861892582</c:v>
                </c:pt>
                <c:pt idx="6">
                  <c:v>0.21895006402048656</c:v>
                </c:pt>
                <c:pt idx="7">
                  <c:v>0.29124004550625709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69848832"/>
        <c:axId val="169847040"/>
      </c:lineChart>
      <c:catAx>
        <c:axId val="1698191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69845504"/>
        <c:crosses val="autoZero"/>
        <c:auto val="1"/>
        <c:lblAlgn val="ctr"/>
        <c:lblOffset val="100"/>
      </c:catAx>
      <c:valAx>
        <c:axId val="16984550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69819136"/>
        <c:crosses val="autoZero"/>
        <c:crossBetween val="between"/>
      </c:valAx>
      <c:valAx>
        <c:axId val="169847040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69848832"/>
        <c:crosses val="max"/>
        <c:crossBetween val="between"/>
      </c:valAx>
      <c:catAx>
        <c:axId val="169848832"/>
        <c:scaling>
          <c:orientation val="minMax"/>
        </c:scaling>
        <c:delete val="1"/>
        <c:axPos val="b"/>
        <c:tickLblPos val="none"/>
        <c:crossAx val="16984704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26"/>
          <c:y val="6.3932132322468985E-2"/>
          <c:w val="0.74659195050210281"/>
          <c:h val="0.87328441529948087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70041344"/>
        <c:axId val="170035456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1.0588235294117647</c:v>
                </c:pt>
                <c:pt idx="2">
                  <c:v>3</c:v>
                </c:pt>
                <c:pt idx="3">
                  <c:v>1.1499999999999999</c:v>
                </c:pt>
                <c:pt idx="4">
                  <c:v>1.6</c:v>
                </c:pt>
                <c:pt idx="5">
                  <c:v>1.6585365853658536</c:v>
                </c:pt>
                <c:pt idx="6">
                  <c:v>6.2</c:v>
                </c:pt>
                <c:pt idx="7">
                  <c:v>0</c:v>
                </c:pt>
              </c:numCache>
            </c:numRef>
          </c:val>
        </c:ser>
        <c:gapWidth val="125"/>
        <c:axId val="170023936"/>
        <c:axId val="170033920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4.4878048780487803E-2</c:v>
                </c:pt>
                <c:pt idx="2">
                  <c:v>4.4878048780487803E-2</c:v>
                </c:pt>
                <c:pt idx="3">
                  <c:v>5.4916985951468711E-2</c:v>
                </c:pt>
                <c:pt idx="4">
                  <c:v>5.921052631578947E-2</c:v>
                </c:pt>
                <c:pt idx="5">
                  <c:v>7.7471059661620656E-2</c:v>
                </c:pt>
                <c:pt idx="6">
                  <c:v>7.5837742504409167E-2</c:v>
                </c:pt>
                <c:pt idx="7">
                  <c:v>6.934931506849315E-2</c:v>
                </c:pt>
              </c:numCache>
            </c:numRef>
          </c:val>
          <c:smooth val="1"/>
        </c:ser>
        <c:marker val="1"/>
        <c:axId val="170041344"/>
        <c:axId val="170035456"/>
      </c:lineChart>
      <c:catAx>
        <c:axId val="1700239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70033920"/>
        <c:crosses val="autoZero"/>
        <c:auto val="1"/>
        <c:lblAlgn val="ctr"/>
        <c:lblOffset val="100"/>
      </c:catAx>
      <c:valAx>
        <c:axId val="170033920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70023936"/>
        <c:crosses val="autoZero"/>
        <c:crossBetween val="between"/>
      </c:valAx>
      <c:valAx>
        <c:axId val="17003545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70041344"/>
        <c:crosses val="max"/>
        <c:crossBetween val="between"/>
      </c:valAx>
      <c:catAx>
        <c:axId val="170041344"/>
        <c:scaling>
          <c:orientation val="minMax"/>
        </c:scaling>
        <c:delete val="1"/>
        <c:axPos val="b"/>
        <c:tickLblPos val="none"/>
        <c:crossAx val="17003545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09"/>
          <c:y val="3.1301940054012684E-2"/>
          <c:w val="0.7582483948884029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25</c:v>
                </c:pt>
                <c:pt idx="7">
                  <c:v>3</c:v>
                </c:pt>
              </c:numCache>
            </c:numRef>
          </c:val>
        </c:ser>
        <c:axId val="170178048"/>
        <c:axId val="170179584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70178048"/>
        <c:axId val="170179584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3.6036036036036036E-2</c:v>
                </c:pt>
                <c:pt idx="1">
                  <c:v>3.4188034188034191E-2</c:v>
                </c:pt>
                <c:pt idx="2">
                  <c:v>5.6818181818181816E-2</c:v>
                </c:pt>
                <c:pt idx="3">
                  <c:v>3.787878787878788E-2</c:v>
                </c:pt>
                <c:pt idx="4">
                  <c:v>3.6231884057971016E-2</c:v>
                </c:pt>
                <c:pt idx="5">
                  <c:v>3.6496350364963501E-2</c:v>
                </c:pt>
                <c:pt idx="6">
                  <c:v>0.04</c:v>
                </c:pt>
                <c:pt idx="7">
                  <c:v>0.05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2.7586206896551724E-2</c:v>
                </c:pt>
                <c:pt idx="1">
                  <c:v>2.7586206896551724E-2</c:v>
                </c:pt>
                <c:pt idx="2">
                  <c:v>4.5871559633027525E-2</c:v>
                </c:pt>
                <c:pt idx="3">
                  <c:v>2.9239766081871343E-2</c:v>
                </c:pt>
                <c:pt idx="4">
                  <c:v>2.7624309392265192E-2</c:v>
                </c:pt>
                <c:pt idx="5">
                  <c:v>2.6737967914438502E-2</c:v>
                </c:pt>
                <c:pt idx="6">
                  <c:v>4.4642857142857144E-2</c:v>
                </c:pt>
                <c:pt idx="7">
                  <c:v>3.9106145251396648E-2</c:v>
                </c:pt>
              </c:numCache>
            </c:numRef>
          </c:val>
          <c:smooth val="1"/>
        </c:ser>
        <c:marker val="1"/>
        <c:axId val="170191104"/>
        <c:axId val="170189568"/>
      </c:lineChart>
      <c:catAx>
        <c:axId val="17017804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70179584"/>
        <c:crosses val="autoZero"/>
        <c:auto val="1"/>
        <c:lblAlgn val="ctr"/>
        <c:lblOffset val="100"/>
      </c:catAx>
      <c:valAx>
        <c:axId val="17017958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70178048"/>
        <c:crosses val="autoZero"/>
        <c:crossBetween val="between"/>
      </c:valAx>
      <c:valAx>
        <c:axId val="17018956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70191104"/>
        <c:crosses val="max"/>
        <c:crossBetween val="between"/>
      </c:valAx>
      <c:catAx>
        <c:axId val="170191104"/>
        <c:scaling>
          <c:orientation val="minMax"/>
        </c:scaling>
        <c:delete val="1"/>
        <c:axPos val="b"/>
        <c:tickLblPos val="none"/>
        <c:crossAx val="17018956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1854539959"/>
          <c:y val="3.1014740639755678E-2"/>
          <c:w val="0.74877230585669563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0.73</c:v>
                </c:pt>
                <c:pt idx="1">
                  <c:v>0.34</c:v>
                </c:pt>
                <c:pt idx="2">
                  <c:v>0.12</c:v>
                </c:pt>
                <c:pt idx="3">
                  <c:v>0.38</c:v>
                </c:pt>
                <c:pt idx="4">
                  <c:v>0.4</c:v>
                </c:pt>
                <c:pt idx="5">
                  <c:v>0.8</c:v>
                </c:pt>
                <c:pt idx="6">
                  <c:v>0.1</c:v>
                </c:pt>
                <c:pt idx="7">
                  <c:v>0.28000000000000003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val>
            <c:numRef>
              <c:f>紅綠燈!$O$47:$V$47</c:f>
              <c:numCache>
                <c:formatCode>_(* #,##0.00_);_(* \(#,##0.00\);_(* "-"??_);_(@_)</c:formatCode>
                <c:ptCount val="8"/>
              </c:numCache>
            </c:numRef>
          </c:val>
        </c:ser>
        <c:gapWidth val="170"/>
        <c:overlap val="100"/>
        <c:axId val="169981056"/>
        <c:axId val="169982592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1.0909090909090908</c:v>
                </c:pt>
                <c:pt idx="1">
                  <c:v>0.76190476190476186</c:v>
                </c:pt>
                <c:pt idx="2">
                  <c:v>0.42857142857142855</c:v>
                </c:pt>
                <c:pt idx="3">
                  <c:v>1.0434782608695652</c:v>
                </c:pt>
                <c:pt idx="4">
                  <c:v>1.1200000000000001</c:v>
                </c:pt>
                <c:pt idx="5">
                  <c:v>0.69387755102040816</c:v>
                </c:pt>
                <c:pt idx="6">
                  <c:v>1</c:v>
                </c:pt>
                <c:pt idx="7">
                  <c:v>1.0434782608695652</c:v>
                </c:pt>
              </c:numCache>
            </c:numRef>
          </c:val>
          <c:smooth val="1"/>
        </c:ser>
        <c:marker val="1"/>
        <c:axId val="169994112"/>
        <c:axId val="169992576"/>
      </c:lineChart>
      <c:catAx>
        <c:axId val="16998105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69982592"/>
        <c:crosses val="autoZero"/>
        <c:auto val="1"/>
        <c:lblAlgn val="ctr"/>
        <c:lblOffset val="100"/>
      </c:catAx>
      <c:valAx>
        <c:axId val="16998259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69981056"/>
        <c:crosses val="autoZero"/>
        <c:crossBetween val="between"/>
      </c:valAx>
      <c:valAx>
        <c:axId val="169992576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69994112"/>
        <c:crosses val="max"/>
        <c:crossBetween val="between"/>
      </c:valAx>
      <c:catAx>
        <c:axId val="169994112"/>
        <c:scaling>
          <c:orientation val="minMax"/>
        </c:scaling>
        <c:delete val="1"/>
        <c:axPos val="b"/>
        <c:tickLblPos val="none"/>
        <c:crossAx val="16999257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06"/>
          <c:w val="0.88395908009621549"/>
          <c:h val="0.75954052669684569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148</c:v>
                </c:pt>
                <c:pt idx="1">
                  <c:v>151</c:v>
                </c:pt>
                <c:pt idx="2">
                  <c:v>111</c:v>
                </c:pt>
                <c:pt idx="3">
                  <c:v>175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185</c:v>
                </c:pt>
                <c:pt idx="1">
                  <c:v>190</c:v>
                </c:pt>
                <c:pt idx="2">
                  <c:v>153</c:v>
                </c:pt>
                <c:pt idx="3">
                  <c:v>182</c:v>
                </c:pt>
              </c:numCache>
            </c:numRef>
          </c:val>
        </c:ser>
        <c:gapWidth val="65"/>
        <c:axId val="170223872"/>
        <c:axId val="170233856"/>
      </c:barChart>
      <c:catAx>
        <c:axId val="170223872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0233856"/>
        <c:crosses val="autoZero"/>
        <c:auto val="1"/>
        <c:lblAlgn val="ctr"/>
        <c:lblOffset val="100"/>
      </c:catAx>
      <c:valAx>
        <c:axId val="170233856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7022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13"/>
          <c:w val="0.90049010022061926"/>
          <c:h val="0.70987395863660629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#,##0_);[Red]\(#,##0\)</c:formatCode>
                <c:ptCount val="4"/>
                <c:pt idx="0">
                  <c:v>199.0770575083489</c:v>
                </c:pt>
                <c:pt idx="1">
                  <c:v>199.0770575083489</c:v>
                </c:pt>
                <c:pt idx="2">
                  <c:v>256.51451167076169</c:v>
                </c:pt>
                <c:pt idx="3">
                  <c:v>168.87175324675326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#,##0_);[Red]\(#,##0\)</c:formatCode>
                <c:ptCount val="4"/>
                <c:pt idx="0">
                  <c:v>171.42883372502939</c:v>
                </c:pt>
                <c:pt idx="1">
                  <c:v>167.39449673453709</c:v>
                </c:pt>
                <c:pt idx="2">
                  <c:v>183.377908496732</c:v>
                </c:pt>
                <c:pt idx="3">
                  <c:v>189.14320054945057</c:v>
                </c:pt>
              </c:numCache>
            </c:numRef>
          </c:val>
          <c:smooth val="1"/>
        </c:ser>
        <c:dLbls>
          <c:showVal val="1"/>
        </c:dLbls>
        <c:marker val="1"/>
        <c:axId val="170259968"/>
        <c:axId val="170261504"/>
      </c:lineChart>
      <c:catAx>
        <c:axId val="170259968"/>
        <c:scaling>
          <c:orientation val="minMax"/>
        </c:scaling>
        <c:delete val="1"/>
        <c:axPos val="b"/>
        <c:majorTickMark val="none"/>
        <c:tickLblPos val="none"/>
        <c:crossAx val="170261504"/>
        <c:crosses val="autoZero"/>
        <c:auto val="1"/>
        <c:lblAlgn val="ctr"/>
        <c:lblOffset val="100"/>
      </c:catAx>
      <c:valAx>
        <c:axId val="170261504"/>
        <c:scaling>
          <c:orientation val="minMax"/>
          <c:max val="308.81741400491404"/>
          <c:min val="132.91559738762967"/>
        </c:scaling>
        <c:delete val="1"/>
        <c:axPos val="l"/>
        <c:numFmt formatCode="#,##0_);[Red]\(#,##0\)" sourceLinked="1"/>
        <c:majorTickMark val="none"/>
        <c:tickLblPos val="none"/>
        <c:crossAx val="17025996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21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73111168"/>
        <c:axId val="173112704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73132416"/>
        <c:axId val="173130880"/>
      </c:lineChart>
      <c:dateAx>
        <c:axId val="17311116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73112704"/>
        <c:crosses val="autoZero"/>
        <c:lblOffset val="100"/>
        <c:baseTimeUnit val="days"/>
      </c:dateAx>
      <c:valAx>
        <c:axId val="17311270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73111168"/>
        <c:crosses val="autoZero"/>
        <c:crossBetween val="between"/>
      </c:valAx>
      <c:valAx>
        <c:axId val="173130880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73132416"/>
        <c:crosses val="max"/>
        <c:crossBetween val="between"/>
      </c:valAx>
      <c:dateAx>
        <c:axId val="173132416"/>
        <c:scaling>
          <c:orientation val="minMax"/>
        </c:scaling>
        <c:delete val="1"/>
        <c:axPos val="b"/>
        <c:numFmt formatCode="General" sourceLinked="1"/>
        <c:tickLblPos val="none"/>
        <c:crossAx val="173130880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136E-2"/>
          <c:y val="7.6339457567804025E-2"/>
          <c:w val="0.91226332455746517"/>
          <c:h val="0.76162697844589355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73887872"/>
        <c:axId val="173889408"/>
      </c:lineChart>
      <c:catAx>
        <c:axId val="17388787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73889408"/>
        <c:crosses val="autoZero"/>
        <c:auto val="1"/>
        <c:lblAlgn val="ctr"/>
        <c:lblOffset val="100"/>
      </c:catAx>
      <c:valAx>
        <c:axId val="173889408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7388787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219E-2"/>
          <c:y val="7.6339457567804025E-2"/>
          <c:w val="0.91226344792658953"/>
          <c:h val="0.761626978445894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73929216"/>
        <c:axId val="173930752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73155840"/>
        <c:axId val="173154304"/>
      </c:lineChart>
      <c:catAx>
        <c:axId val="17392921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73930752"/>
        <c:crosses val="autoZero"/>
        <c:auto val="1"/>
        <c:lblAlgn val="ctr"/>
        <c:lblOffset val="100"/>
      </c:catAx>
      <c:valAx>
        <c:axId val="173930752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73929216"/>
        <c:crosses val="autoZero"/>
        <c:crossBetween val="between"/>
      </c:valAx>
      <c:valAx>
        <c:axId val="173154304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73155840"/>
        <c:crosses val="max"/>
        <c:crossBetween val="between"/>
      </c:valAx>
      <c:catAx>
        <c:axId val="173155840"/>
        <c:scaling>
          <c:orientation val="minMax"/>
        </c:scaling>
        <c:delete val="1"/>
        <c:axPos val="b"/>
        <c:tickLblPos val="none"/>
        <c:crossAx val="173154304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44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73190144"/>
        <c:axId val="173933312"/>
      </c:barChart>
      <c:catAx>
        <c:axId val="17319014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73933312"/>
        <c:crosses val="autoZero"/>
        <c:auto val="1"/>
        <c:lblAlgn val="ctr"/>
        <c:lblOffset val="100"/>
      </c:catAx>
      <c:valAx>
        <c:axId val="173933312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7319014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2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73981056"/>
        <c:axId val="174003328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74010752"/>
        <c:axId val="174004864"/>
      </c:lineChart>
      <c:catAx>
        <c:axId val="17398105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74003328"/>
        <c:crosses val="autoZero"/>
        <c:auto val="1"/>
        <c:lblAlgn val="ctr"/>
        <c:lblOffset val="100"/>
      </c:catAx>
      <c:valAx>
        <c:axId val="17400332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73981056"/>
        <c:crosses val="autoZero"/>
        <c:crossBetween val="between"/>
      </c:valAx>
      <c:valAx>
        <c:axId val="17400486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74010752"/>
        <c:crosses val="max"/>
        <c:crossBetween val="between"/>
      </c:valAx>
      <c:catAx>
        <c:axId val="174010752"/>
        <c:scaling>
          <c:orientation val="minMax"/>
        </c:scaling>
        <c:delete val="1"/>
        <c:axPos val="b"/>
        <c:tickLblPos val="none"/>
        <c:crossAx val="17400486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64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_(* #,##0.00_);_(* \(#,##0.00\);_(* "-"??_);_(@_)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_(* #,##0.00_);_(* \(#,##0.00\);_(* "-"??_);_(@_)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74090880"/>
        <c:axId val="174104960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74108032"/>
        <c:axId val="174106496"/>
      </c:lineChart>
      <c:catAx>
        <c:axId val="17409088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74104960"/>
        <c:crosses val="autoZero"/>
        <c:auto val="1"/>
        <c:lblAlgn val="ctr"/>
        <c:lblOffset val="100"/>
      </c:catAx>
      <c:valAx>
        <c:axId val="17410496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74090880"/>
        <c:crosses val="autoZero"/>
        <c:crossBetween val="between"/>
      </c:valAx>
      <c:valAx>
        <c:axId val="174106496"/>
        <c:scaling>
          <c:orientation val="minMax"/>
          <c:max val="0.42461380020597334"/>
          <c:min val="1.7723880597014931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74108032"/>
        <c:crosses val="max"/>
        <c:crossBetween val="between"/>
      </c:valAx>
      <c:catAx>
        <c:axId val="174108032"/>
        <c:scaling>
          <c:orientation val="minMax"/>
        </c:scaling>
        <c:delete val="1"/>
        <c:axPos val="b"/>
        <c:tickLblPos val="none"/>
        <c:crossAx val="174106496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7" Type="http://schemas.openxmlformats.org/officeDocument/2006/relationships/image" Target="../media/image79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5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82.emf"/><Relationship Id="rId7" Type="http://schemas.openxmlformats.org/officeDocument/2006/relationships/image" Target="../media/image86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5" Type="http://schemas.openxmlformats.org/officeDocument/2006/relationships/image" Target="../media/image84.emf"/><Relationship Id="rId4" Type="http://schemas.openxmlformats.org/officeDocument/2006/relationships/image" Target="../media/image83.emf"/><Relationship Id="rId9" Type="http://schemas.openxmlformats.org/officeDocument/2006/relationships/image" Target="../media/image8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7" Type="http://schemas.openxmlformats.org/officeDocument/2006/relationships/image" Target="../media/image96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6" Type="http://schemas.openxmlformats.org/officeDocument/2006/relationships/image" Target="../media/image95.emf"/><Relationship Id="rId5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2.emf"/><Relationship Id="rId1" Type="http://schemas.openxmlformats.org/officeDocument/2006/relationships/image" Target="../media/image10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520700</xdr:colOff>
      <xdr:row>18</xdr:row>
      <xdr:rowOff>164432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520700</xdr:colOff>
      <xdr:row>35</xdr:row>
      <xdr:rowOff>177801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1" headers="0" growShrinkType="overwriteClear" fillFormulas="1" connectionId="5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82" headers="0" growShrinkType="overwriteClear" fillFormulas="1" connectionId="6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85" headers="0" growShrinkType="overwriteClear" fillFormulas="1" connectionId="6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86" headers="0" growShrinkType="overwriteClear" fillFormulas="1" connectionId="5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83" headers="0" growShrinkType="overwriteClear" fillFormulas="1" connectionId="6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87" headers="0" growShrinkType="overwriteClear" fillFormulas="1" connectionId="5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80" headers="0" growShrinkType="overwriteClear" fillFormulas="1" connectionId="5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84" headers="0" growShrinkType="overwriteClear" fillFormulas="1" connectionId="6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20" headers="0" growShrinkType="overwriteClear" fillFormulas="1" connectionId="1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10" headers="0" growShrinkType="overwriteClear" fillFormulas="1" connectionId="9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29" headers="0" growShrinkType="overwriteClear" fillFormulas="1" connectionId="13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7" headers="0" growShrinkType="overwriteClear" fillFormulas="1" connectionId="7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5" headers="0" growShrinkType="overwriteClear" fillFormulas="1" connectionId="1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21" headers="0" growShrinkType="overwriteClear" fillFormulas="1" connectionId="12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17" headers="0" growShrinkType="overwriteClear" fillFormulas="1" connectionId="10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12" headers="0" growShrinkType="overwriteClear" fillFormulas="1" connectionId="9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28" headers="0" growShrinkType="overwriteClear" fillFormulas="1" connectionId="1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3" headers="0" growShrinkType="overwriteClear" fillFormulas="1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16" headers="0" growShrinkType="overwriteClear" fillFormulas="1" connectionId="10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2" headers="0" growShrinkType="overwriteClear" fillFormulas="1" connectionId="16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27" headers="0" growShrinkType="overwriteClear" fillFormulas="1" connectionId="13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9" headers="0" growShrinkType="overwriteClear" fillFormulas="1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15" headers="0" growShrinkType="overwriteClear" fillFormulas="1" connectionId="10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23" headers="0" growShrinkType="overwriteClear" fillFormulas="1" connectionId="1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1" headers="0" growShrinkType="overwriteClear" fillFormulas="1" connectionId="1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13" headers="0" growShrinkType="overwriteClear" fillFormulas="1" connectionId="9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6" headers="0" growShrinkType="overwriteClear" fillFormulas="1" connectionId="5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14" headers="0" growShrinkType="overwriteClear" fillFormulas="1" connectionId="10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24" headers="0" growShrinkType="overwriteClear" fillFormulas="1" connectionId="1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4" headers="0" growShrinkType="overwriteClear" fillFormulas="1" connectionId="1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25" headers="0" growShrinkType="overwriteClear" fillFormulas="1" connectionId="1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11" headers="0" growShrinkType="overwriteClear" fillFormulas="1" connectionId="9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26" headers="0" growShrinkType="overwriteClear" fillFormulas="1" connectionId="13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22" headers="0" growShrinkType="overwriteClear" fillFormulas="1" connectionId="1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8" headers="0" growShrinkType="overwriteClear" fillFormulas="1" connectionId="8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18" headers="0" growShrinkType="overwriteClear" fillFormulas="1" connectionId="10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19" headers="0" growShrinkType="overwriteClear" fillFormulas="1" connectionId="11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750" headers="0" growShrinkType="insertClear" fillFormulas="1" connectionId="6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749" headers="0" growShrinkType="insertClear" fillFormulas="1" connectionId="5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748" headers="0" growShrinkType="insertClear" fillFormulas="1" connectionId="5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754" headers="0" growShrinkType="insertClear" fillFormulas="1" connectionId="7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753" headers="0" growShrinkType="insertClear" fillFormulas="1" connectionId="6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752" headers="0" growShrinkType="insertClear" fillFormulas="1" connectionId="6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599" headers="0" growShrinkType="insertClear" fillFormulas="1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598" headers="0" growShrinkType="insertClear" fillFormulas="1" connectionId="7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600" headers="0" growShrinkType="insertClear" fillFormulas="1" connectionId="7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4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3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2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3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4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2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2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3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4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2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3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4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5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2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2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3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3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1570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1570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1570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1570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1570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comments" Target="../comments3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tw.stock.yahoo.com/d/s/earning_2313.html" TargetMode="External"/><Relationship Id="rId18" Type="http://schemas.openxmlformats.org/officeDocument/2006/relationships/hyperlink" Target="https://tw.stock.yahoo.com/d/s/earning_2488.html" TargetMode="External"/><Relationship Id="rId26" Type="http://schemas.openxmlformats.org/officeDocument/2006/relationships/hyperlink" Target="https://tw.stock.yahoo.com/d/s/earning_3294.html" TargetMode="External"/><Relationship Id="rId39" Type="http://schemas.openxmlformats.org/officeDocument/2006/relationships/hyperlink" Target="https://tw.stock.yahoo.com/d/s/earning_4965.html" TargetMode="External"/><Relationship Id="rId21" Type="http://schemas.openxmlformats.org/officeDocument/2006/relationships/hyperlink" Target="https://tw.stock.yahoo.com/d/s/earning_3046.html" TargetMode="External"/><Relationship Id="rId34" Type="http://schemas.openxmlformats.org/officeDocument/2006/relationships/hyperlink" Target="https://tw.stock.yahoo.com/d/s/earning_4415.html" TargetMode="External"/><Relationship Id="rId42" Type="http://schemas.openxmlformats.org/officeDocument/2006/relationships/hyperlink" Target="https://tw.stock.yahoo.com/d/s/earning_5392.html" TargetMode="External"/><Relationship Id="rId47" Type="http://schemas.openxmlformats.org/officeDocument/2006/relationships/hyperlink" Target="https://tw.stock.yahoo.com/d/s/earning_6235.html" TargetMode="External"/><Relationship Id="rId50" Type="http://schemas.openxmlformats.org/officeDocument/2006/relationships/hyperlink" Target="https://tw.stock.yahoo.com/d/s/earning_8422.html" TargetMode="External"/><Relationship Id="rId55" Type="http://schemas.openxmlformats.org/officeDocument/2006/relationships/control" Target="../activeX/activeX54.xml"/><Relationship Id="rId63" Type="http://schemas.openxmlformats.org/officeDocument/2006/relationships/control" Target="../activeX/activeX62.xml"/><Relationship Id="rId7" Type="http://schemas.openxmlformats.org/officeDocument/2006/relationships/hyperlink" Target="https://tw.stock.yahoo.com/d/s/earning_1339.html" TargetMode="External"/><Relationship Id="rId2" Type="http://schemas.openxmlformats.org/officeDocument/2006/relationships/hyperlink" Target="https://tw.stock.yahoo.com/d/s/earning_2433.html" TargetMode="External"/><Relationship Id="rId16" Type="http://schemas.openxmlformats.org/officeDocument/2006/relationships/hyperlink" Target="https://tw.stock.yahoo.com/d/s/earning_2406.html" TargetMode="External"/><Relationship Id="rId20" Type="http://schemas.openxmlformats.org/officeDocument/2006/relationships/hyperlink" Target="https://tw.stock.yahoo.com/d/s/earning_2637.html" TargetMode="External"/><Relationship Id="rId29" Type="http://schemas.openxmlformats.org/officeDocument/2006/relationships/hyperlink" Target="https://tw.stock.yahoo.com/d/s/earning_3552.html" TargetMode="External"/><Relationship Id="rId41" Type="http://schemas.openxmlformats.org/officeDocument/2006/relationships/hyperlink" Target="https://tw.stock.yahoo.com/d/s/earning_5225.html" TargetMode="External"/><Relationship Id="rId54" Type="http://schemas.openxmlformats.org/officeDocument/2006/relationships/control" Target="../activeX/activeX53.xml"/><Relationship Id="rId62" Type="http://schemas.openxmlformats.org/officeDocument/2006/relationships/control" Target="../activeX/activeX61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1" Type="http://schemas.openxmlformats.org/officeDocument/2006/relationships/hyperlink" Target="https://tw.stock.yahoo.com/d/s/earning_1762.html" TargetMode="External"/><Relationship Id="rId24" Type="http://schemas.openxmlformats.org/officeDocument/2006/relationships/hyperlink" Target="https://tw.stock.yahoo.com/d/s/earning_3205.html" TargetMode="External"/><Relationship Id="rId32" Type="http://schemas.openxmlformats.org/officeDocument/2006/relationships/hyperlink" Target="https://tw.stock.yahoo.com/d/s/earning_4137.html" TargetMode="External"/><Relationship Id="rId37" Type="http://schemas.openxmlformats.org/officeDocument/2006/relationships/hyperlink" Target="https://tw.stock.yahoo.com/d/s/earning_4915.html" TargetMode="External"/><Relationship Id="rId40" Type="http://schemas.openxmlformats.org/officeDocument/2006/relationships/hyperlink" Target="https://tw.stock.yahoo.com/d/s/earning_5206.html" TargetMode="External"/><Relationship Id="rId45" Type="http://schemas.openxmlformats.org/officeDocument/2006/relationships/hyperlink" Target="https://tw.stock.yahoo.com/d/s/earning_6227.html" TargetMode="External"/><Relationship Id="rId53" Type="http://schemas.openxmlformats.org/officeDocument/2006/relationships/control" Target="../activeX/activeX52.xml"/><Relationship Id="rId58" Type="http://schemas.openxmlformats.org/officeDocument/2006/relationships/control" Target="../activeX/activeX57.xml"/><Relationship Id="rId5" Type="http://schemas.openxmlformats.org/officeDocument/2006/relationships/hyperlink" Target="https://tw.stock.yahoo.com/d/s/earning_3205.html" TargetMode="External"/><Relationship Id="rId15" Type="http://schemas.openxmlformats.org/officeDocument/2006/relationships/hyperlink" Target="https://tw.stock.yahoo.com/d/s/earning_2392.html" TargetMode="External"/><Relationship Id="rId23" Type="http://schemas.openxmlformats.org/officeDocument/2006/relationships/hyperlink" Target="https://tw.stock.yahoo.com/d/s/earning_3169.html" TargetMode="External"/><Relationship Id="rId28" Type="http://schemas.openxmlformats.org/officeDocument/2006/relationships/hyperlink" Target="https://tw.stock.yahoo.com/d/s/earning_3512.html" TargetMode="External"/><Relationship Id="rId36" Type="http://schemas.openxmlformats.org/officeDocument/2006/relationships/hyperlink" Target="https://tw.stock.yahoo.com/d/s/earning_4502.html" TargetMode="External"/><Relationship Id="rId49" Type="http://schemas.openxmlformats.org/officeDocument/2006/relationships/hyperlink" Target="https://tw.stock.yahoo.com/d/s/earning_8096.html" TargetMode="External"/><Relationship Id="rId57" Type="http://schemas.openxmlformats.org/officeDocument/2006/relationships/control" Target="../activeX/activeX56.xml"/><Relationship Id="rId61" Type="http://schemas.openxmlformats.org/officeDocument/2006/relationships/control" Target="../activeX/activeX60.xml"/><Relationship Id="rId10" Type="http://schemas.openxmlformats.org/officeDocument/2006/relationships/hyperlink" Target="https://tw.stock.yahoo.com/d/s/earning_1566.html" TargetMode="External"/><Relationship Id="rId19" Type="http://schemas.openxmlformats.org/officeDocument/2006/relationships/hyperlink" Target="https://tw.stock.yahoo.com/d/s/earning_2509.html" TargetMode="External"/><Relationship Id="rId31" Type="http://schemas.openxmlformats.org/officeDocument/2006/relationships/hyperlink" Target="https://tw.stock.yahoo.com/d/s/earning_3707.html" TargetMode="External"/><Relationship Id="rId44" Type="http://schemas.openxmlformats.org/officeDocument/2006/relationships/hyperlink" Target="https://tw.stock.yahoo.com/d/s/earning_6184.html" TargetMode="External"/><Relationship Id="rId52" Type="http://schemas.openxmlformats.org/officeDocument/2006/relationships/vmlDrawing" Target="../drawings/vmlDrawing5.vml"/><Relationship Id="rId60" Type="http://schemas.openxmlformats.org/officeDocument/2006/relationships/control" Target="../activeX/activeX59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s://tw.stock.yahoo.com/d/s/earning_1464.html" TargetMode="External"/><Relationship Id="rId14" Type="http://schemas.openxmlformats.org/officeDocument/2006/relationships/hyperlink" Target="https://tw.stock.yahoo.com/d/s/earning_2373.html" TargetMode="External"/><Relationship Id="rId22" Type="http://schemas.openxmlformats.org/officeDocument/2006/relationships/hyperlink" Target="https://tw.stock.yahoo.com/d/s/earning_3152.html" TargetMode="External"/><Relationship Id="rId27" Type="http://schemas.openxmlformats.org/officeDocument/2006/relationships/hyperlink" Target="https://tw.stock.yahoo.com/d/s/earning_3499.html" TargetMode="External"/><Relationship Id="rId30" Type="http://schemas.openxmlformats.org/officeDocument/2006/relationships/hyperlink" Target="https://tw.stock.yahoo.com/d/s/earning_3691.html" TargetMode="External"/><Relationship Id="rId35" Type="http://schemas.openxmlformats.org/officeDocument/2006/relationships/hyperlink" Target="https://tw.stock.yahoo.com/d/s/earning_4420.html" TargetMode="External"/><Relationship Id="rId43" Type="http://schemas.openxmlformats.org/officeDocument/2006/relationships/hyperlink" Target="https://tw.stock.yahoo.com/d/s/earning_6103.html" TargetMode="External"/><Relationship Id="rId48" Type="http://schemas.openxmlformats.org/officeDocument/2006/relationships/hyperlink" Target="https://tw.stock.yahoo.com/d/s/earning_8077.html" TargetMode="External"/><Relationship Id="rId56" Type="http://schemas.openxmlformats.org/officeDocument/2006/relationships/control" Target="../activeX/activeX55.xml"/><Relationship Id="rId64" Type="http://schemas.openxmlformats.org/officeDocument/2006/relationships/control" Target="../activeX/activeX63.xml"/><Relationship Id="rId8" Type="http://schemas.openxmlformats.org/officeDocument/2006/relationships/hyperlink" Target="https://tw.stock.yahoo.com/d/s/earning_1432.html" TargetMode="External"/><Relationship Id="rId51" Type="http://schemas.openxmlformats.org/officeDocument/2006/relationships/printerSettings" Target="../printerSettings/printerSettings4.bin"/><Relationship Id="rId3" Type="http://schemas.openxmlformats.org/officeDocument/2006/relationships/hyperlink" Target="https://tw.stock.yahoo.com/d/s/earning_3152.html" TargetMode="External"/><Relationship Id="rId12" Type="http://schemas.openxmlformats.org/officeDocument/2006/relationships/hyperlink" Target="https://tw.stock.yahoo.com/d/s/earning_2221.html" TargetMode="External"/><Relationship Id="rId17" Type="http://schemas.openxmlformats.org/officeDocument/2006/relationships/hyperlink" Target="https://tw.stock.yahoo.com/d/s/earning_2433.html" TargetMode="External"/><Relationship Id="rId25" Type="http://schemas.openxmlformats.org/officeDocument/2006/relationships/hyperlink" Target="https://tw.stock.yahoo.com/d/s/earning_3234.html" TargetMode="External"/><Relationship Id="rId33" Type="http://schemas.openxmlformats.org/officeDocument/2006/relationships/hyperlink" Target="https://tw.stock.yahoo.com/d/s/earning_4180.html" TargetMode="External"/><Relationship Id="rId38" Type="http://schemas.openxmlformats.org/officeDocument/2006/relationships/hyperlink" Target="https://tw.stock.yahoo.com/d/s/earning_4938.html" TargetMode="External"/><Relationship Id="rId46" Type="http://schemas.openxmlformats.org/officeDocument/2006/relationships/hyperlink" Target="https://tw.stock.yahoo.com/d/s/earning_6233.html" TargetMode="External"/><Relationship Id="rId59" Type="http://schemas.openxmlformats.org/officeDocument/2006/relationships/control" Target="../activeX/activeX5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queryTable" Target="../queryTables/queryTable4.xml"/><Relationship Id="rId3" Type="http://schemas.openxmlformats.org/officeDocument/2006/relationships/control" Target="../activeX/activeX73.xml"/><Relationship Id="rId7" Type="http://schemas.openxmlformats.org/officeDocument/2006/relationships/control" Target="../activeX/activeX77.xml"/><Relationship Id="rId12" Type="http://schemas.openxmlformats.org/officeDocument/2006/relationships/queryTable" Target="../queryTables/queryTable3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11" Type="http://schemas.openxmlformats.org/officeDocument/2006/relationships/queryTable" Target="../queryTables/queryTable2.xml"/><Relationship Id="rId5" Type="http://schemas.openxmlformats.org/officeDocument/2006/relationships/control" Target="../activeX/activeX75.xml"/><Relationship Id="rId15" Type="http://schemas.openxmlformats.org/officeDocument/2006/relationships/queryTable" Target="../queryTables/queryTable6.xml"/><Relationship Id="rId10" Type="http://schemas.openxmlformats.org/officeDocument/2006/relationships/queryTable" Target="../queryTables/queryTable1.xml"/><Relationship Id="rId4" Type="http://schemas.openxmlformats.org/officeDocument/2006/relationships/control" Target="../activeX/activeX74.xml"/><Relationship Id="rId9" Type="http://schemas.openxmlformats.org/officeDocument/2006/relationships/control" Target="../activeX/activeX79.xml"/><Relationship Id="rId14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control" Target="../activeX/activeX80.xml"/><Relationship Id="rId7" Type="http://schemas.openxmlformats.org/officeDocument/2006/relationships/control" Target="../activeX/activeX84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3.xml"/><Relationship Id="rId11" Type="http://schemas.openxmlformats.org/officeDocument/2006/relationships/control" Target="../activeX/activeX88.xml"/><Relationship Id="rId5" Type="http://schemas.openxmlformats.org/officeDocument/2006/relationships/control" Target="../activeX/activeX82.xml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1.xml"/><Relationship Id="rId9" Type="http://schemas.openxmlformats.org/officeDocument/2006/relationships/control" Target="../activeX/activeX8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control" Target="../activeX/activeX91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control" Target="../activeX/activeX9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control" Target="../activeX/activeX90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4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control" Target="../activeX/activeX93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control" Target="../activeX/activeX92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100.xml"/><Relationship Id="rId4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queryTable" Target="../queryTables/queryTable3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queryTable" Target="../queryTables/queryTable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4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.xml"/><Relationship Id="rId13" Type="http://schemas.openxmlformats.org/officeDocument/2006/relationships/queryTable" Target="../queryTables/queryTable55.xml"/><Relationship Id="rId18" Type="http://schemas.openxmlformats.org/officeDocument/2006/relationships/queryTable" Target="../queryTables/queryTable60.xml"/><Relationship Id="rId26" Type="http://schemas.openxmlformats.org/officeDocument/2006/relationships/queryTable" Target="../queryTables/queryTable68.xml"/><Relationship Id="rId3" Type="http://schemas.openxmlformats.org/officeDocument/2006/relationships/control" Target="../activeX/activeX101.xml"/><Relationship Id="rId21" Type="http://schemas.openxmlformats.org/officeDocument/2006/relationships/queryTable" Target="../queryTables/queryTable63.xml"/><Relationship Id="rId7" Type="http://schemas.openxmlformats.org/officeDocument/2006/relationships/queryTable" Target="../queryTables/queryTable49.xml"/><Relationship Id="rId12" Type="http://schemas.openxmlformats.org/officeDocument/2006/relationships/queryTable" Target="../queryTables/queryTable54.xml"/><Relationship Id="rId17" Type="http://schemas.openxmlformats.org/officeDocument/2006/relationships/queryTable" Target="../queryTables/queryTable59.xml"/><Relationship Id="rId25" Type="http://schemas.openxmlformats.org/officeDocument/2006/relationships/queryTable" Target="../queryTables/queryTable67.xml"/><Relationship Id="rId33" Type="http://schemas.openxmlformats.org/officeDocument/2006/relationships/queryTable" Target="../queryTables/queryTable75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8.xml"/><Relationship Id="rId20" Type="http://schemas.openxmlformats.org/officeDocument/2006/relationships/queryTable" Target="../queryTables/queryTable62.xml"/><Relationship Id="rId29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48.xml"/><Relationship Id="rId11" Type="http://schemas.openxmlformats.org/officeDocument/2006/relationships/queryTable" Target="../queryTables/queryTable53.xml"/><Relationship Id="rId24" Type="http://schemas.openxmlformats.org/officeDocument/2006/relationships/queryTable" Target="../queryTables/queryTable66.xml"/><Relationship Id="rId32" Type="http://schemas.openxmlformats.org/officeDocument/2006/relationships/queryTable" Target="../queryTables/queryTable74.xml"/><Relationship Id="rId5" Type="http://schemas.openxmlformats.org/officeDocument/2006/relationships/queryTable" Target="../queryTables/queryTable47.xml"/><Relationship Id="rId15" Type="http://schemas.openxmlformats.org/officeDocument/2006/relationships/queryTable" Target="../queryTables/queryTable57.xml"/><Relationship Id="rId23" Type="http://schemas.openxmlformats.org/officeDocument/2006/relationships/queryTable" Target="../queryTables/queryTable65.xml"/><Relationship Id="rId28" Type="http://schemas.openxmlformats.org/officeDocument/2006/relationships/queryTable" Target="../queryTables/queryTable70.xml"/><Relationship Id="rId10" Type="http://schemas.openxmlformats.org/officeDocument/2006/relationships/queryTable" Target="../queryTables/queryTable52.xml"/><Relationship Id="rId19" Type="http://schemas.openxmlformats.org/officeDocument/2006/relationships/queryTable" Target="../queryTables/queryTable61.xml"/><Relationship Id="rId31" Type="http://schemas.openxmlformats.org/officeDocument/2006/relationships/queryTable" Target="../queryTables/queryTable73.xml"/><Relationship Id="rId4" Type="http://schemas.openxmlformats.org/officeDocument/2006/relationships/control" Target="../activeX/activeX102.xml"/><Relationship Id="rId9" Type="http://schemas.openxmlformats.org/officeDocument/2006/relationships/queryTable" Target="../queryTables/queryTable51.xml"/><Relationship Id="rId14" Type="http://schemas.openxmlformats.org/officeDocument/2006/relationships/queryTable" Target="../queryTables/queryTable56.xml"/><Relationship Id="rId22" Type="http://schemas.openxmlformats.org/officeDocument/2006/relationships/queryTable" Target="../queryTables/queryTable64.xml"/><Relationship Id="rId27" Type="http://schemas.openxmlformats.org/officeDocument/2006/relationships/queryTable" Target="../queryTables/queryTable69.xml"/><Relationship Id="rId30" Type="http://schemas.openxmlformats.org/officeDocument/2006/relationships/queryTable" Target="../queryTables/queryTable7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H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D2" sqref="D2:D28"/>
    </sheetView>
  </sheetViews>
  <sheetFormatPr defaultColWidth="15.625" defaultRowHeight="19.5"/>
  <cols>
    <col min="1" max="2" width="15.625" style="146"/>
    <col min="3" max="3" width="13.125" style="146" customWidth="1"/>
    <col min="4" max="4" width="13" style="239" bestFit="1" customWidth="1"/>
    <col min="5" max="5" width="16.375" style="246" bestFit="1" customWidth="1"/>
    <col min="6" max="6" width="16.25" style="239" bestFit="1" customWidth="1"/>
    <col min="7" max="7" width="13" style="239" bestFit="1" customWidth="1"/>
    <col min="8" max="8" width="13.875" style="239" bestFit="1" customWidth="1"/>
    <col min="9" max="16384" width="15.625" style="146"/>
  </cols>
  <sheetData>
    <row r="1" spans="1:8" s="217" customFormat="1" ht="24.75" customHeight="1">
      <c r="A1" s="217" t="s">
        <v>1879</v>
      </c>
      <c r="D1" s="217" t="s">
        <v>1895</v>
      </c>
      <c r="E1" s="217" t="str">
        <f>"已讀  " &amp; COUNTA(E2:E1973) &amp; "  家"</f>
        <v>已讀  678  家</v>
      </c>
      <c r="F1" s="247" t="str">
        <f>"待讀" &amp; COUNTA(F2:F2000) &amp; "  家"</f>
        <v>待讀346  家</v>
      </c>
      <c r="G1" s="217" t="s">
        <v>1928</v>
      </c>
      <c r="H1" s="217" t="s">
        <v>1929</v>
      </c>
    </row>
    <row r="2" spans="1:8">
      <c r="A2" s="147" t="s">
        <v>1880</v>
      </c>
      <c r="B2" s="148">
        <f ca="1">TODAY()</f>
        <v>42597</v>
      </c>
      <c r="C2" s="152">
        <f ca="1">B2-WEEKDAY(TODAY())-1</f>
        <v>42594</v>
      </c>
      <c r="D2" s="239">
        <v>1101</v>
      </c>
      <c r="E2" s="246">
        <v>1213</v>
      </c>
      <c r="F2" s="239">
        <v>1259</v>
      </c>
    </row>
    <row r="3" spans="1:8">
      <c r="A3" s="149" t="s">
        <v>1881</v>
      </c>
      <c r="B3" s="150" t="s">
        <v>1888</v>
      </c>
      <c r="C3" s="152">
        <f ca="1">C2-7</f>
        <v>42587</v>
      </c>
      <c r="D3" s="239">
        <v>1102</v>
      </c>
      <c r="E3" s="239">
        <v>1215</v>
      </c>
      <c r="F3" s="239">
        <v>1264</v>
      </c>
    </row>
    <row r="4" spans="1:8">
      <c r="A4" s="149" t="s">
        <v>1881</v>
      </c>
      <c r="B4" s="150" t="s">
        <v>1884</v>
      </c>
      <c r="C4" s="152">
        <f ca="1">C3-7</f>
        <v>42580</v>
      </c>
      <c r="D4" s="239">
        <v>1103</v>
      </c>
      <c r="E4" s="239">
        <v>1216</v>
      </c>
      <c r="F4" s="239">
        <v>1595</v>
      </c>
      <c r="G4" s="216"/>
    </row>
    <row r="5" spans="1:8">
      <c r="A5" s="149" t="s">
        <v>1881</v>
      </c>
      <c r="B5" s="150" t="s">
        <v>1885</v>
      </c>
      <c r="C5" s="152">
        <f ca="1">C4-7</f>
        <v>42573</v>
      </c>
      <c r="D5" s="239">
        <v>1104</v>
      </c>
      <c r="E5" s="246">
        <v>1229</v>
      </c>
      <c r="F5" s="239">
        <v>1787</v>
      </c>
      <c r="G5" s="216"/>
    </row>
    <row r="6" spans="1:8">
      <c r="A6" s="149" t="s">
        <v>1881</v>
      </c>
      <c r="B6" s="150" t="s">
        <v>1886</v>
      </c>
      <c r="C6" s="152">
        <f ca="1">C5-7</f>
        <v>42566</v>
      </c>
      <c r="D6" s="239">
        <v>1108</v>
      </c>
      <c r="E6" s="239">
        <v>1231</v>
      </c>
      <c r="F6" s="239">
        <v>1788</v>
      </c>
      <c r="G6" s="216"/>
    </row>
    <row r="7" spans="1:8">
      <c r="A7" s="149" t="s">
        <v>1881</v>
      </c>
      <c r="B7" s="150" t="s">
        <v>1887</v>
      </c>
      <c r="C7" s="152">
        <f ca="1">C6-7</f>
        <v>42559</v>
      </c>
      <c r="D7" s="239">
        <v>1109</v>
      </c>
      <c r="E7" s="239">
        <v>1232</v>
      </c>
      <c r="F7" s="239">
        <v>1815</v>
      </c>
      <c r="G7" s="216"/>
    </row>
    <row r="8" spans="1:8">
      <c r="A8" s="149" t="s">
        <v>2366</v>
      </c>
      <c r="B8" s="150"/>
      <c r="C8" s="146">
        <v>0.02</v>
      </c>
      <c r="D8" s="239">
        <v>1110</v>
      </c>
      <c r="E8" s="239">
        <v>1233</v>
      </c>
      <c r="F8" s="239">
        <v>2063</v>
      </c>
      <c r="G8" s="216"/>
    </row>
    <row r="9" spans="1:8">
      <c r="A9" s="151" t="s">
        <v>150</v>
      </c>
      <c r="B9" s="151"/>
      <c r="C9" s="151">
        <v>25</v>
      </c>
      <c r="D9" s="239">
        <v>1201</v>
      </c>
      <c r="E9" s="239">
        <v>1234</v>
      </c>
      <c r="F9" s="239">
        <v>2230</v>
      </c>
      <c r="G9" s="216"/>
    </row>
    <row r="10" spans="1:8">
      <c r="A10" s="151" t="s">
        <v>219</v>
      </c>
      <c r="B10" s="151"/>
      <c r="C10" s="151"/>
      <c r="D10" s="239">
        <v>1203</v>
      </c>
      <c r="E10" s="246">
        <v>1235</v>
      </c>
      <c r="F10" s="239">
        <v>2233</v>
      </c>
      <c r="G10" s="216"/>
    </row>
    <row r="11" spans="1:8">
      <c r="A11" s="151" t="s">
        <v>220</v>
      </c>
      <c r="B11" s="151"/>
      <c r="C11" s="151"/>
      <c r="D11" s="239">
        <v>1210</v>
      </c>
      <c r="E11" s="239">
        <v>1236</v>
      </c>
      <c r="F11" s="239">
        <v>2636</v>
      </c>
      <c r="G11" s="216"/>
    </row>
    <row r="12" spans="1:8">
      <c r="D12" s="239">
        <v>1213</v>
      </c>
      <c r="E12" s="216">
        <v>1256</v>
      </c>
      <c r="F12" s="239">
        <v>2640</v>
      </c>
      <c r="G12" s="216"/>
    </row>
    <row r="13" spans="1:8">
      <c r="D13" s="239">
        <v>1215</v>
      </c>
      <c r="E13" s="239">
        <v>1262</v>
      </c>
      <c r="F13" s="239">
        <v>2718</v>
      </c>
      <c r="G13" s="216"/>
    </row>
    <row r="14" spans="1:8">
      <c r="D14" s="239">
        <v>1216</v>
      </c>
      <c r="E14" s="239">
        <v>1301</v>
      </c>
      <c r="F14" s="239">
        <v>2729</v>
      </c>
      <c r="G14" s="216"/>
    </row>
    <row r="15" spans="1:8">
      <c r="D15" s="239">
        <v>1217</v>
      </c>
      <c r="E15" s="239">
        <v>1303</v>
      </c>
      <c r="F15" s="239">
        <v>2734</v>
      </c>
      <c r="G15" s="216"/>
    </row>
    <row r="16" spans="1:8">
      <c r="D16" s="239">
        <v>1218</v>
      </c>
      <c r="E16" s="246">
        <v>1313</v>
      </c>
      <c r="F16" s="239">
        <v>2916</v>
      </c>
      <c r="G16" s="216"/>
    </row>
    <row r="17" spans="4:7">
      <c r="D17" s="239">
        <v>1219</v>
      </c>
      <c r="E17" s="239">
        <v>1319</v>
      </c>
      <c r="F17" s="239">
        <v>2924</v>
      </c>
      <c r="G17" s="216"/>
    </row>
    <row r="18" spans="4:7">
      <c r="D18" s="239">
        <v>1220</v>
      </c>
      <c r="E18" s="246">
        <v>1326</v>
      </c>
      <c r="F18" s="239">
        <v>3066</v>
      </c>
      <c r="G18" s="216"/>
    </row>
    <row r="19" spans="4:7">
      <c r="D19" s="239">
        <v>1225</v>
      </c>
      <c r="E19" s="246">
        <v>1337</v>
      </c>
      <c r="F19" s="239">
        <v>3078</v>
      </c>
      <c r="G19" s="216"/>
    </row>
    <row r="20" spans="4:7">
      <c r="D20" s="239">
        <v>1227</v>
      </c>
      <c r="E20" s="246">
        <v>1338</v>
      </c>
      <c r="F20" s="239">
        <v>3086</v>
      </c>
      <c r="G20" s="216"/>
    </row>
    <row r="21" spans="4:7">
      <c r="D21" s="239">
        <v>1229</v>
      </c>
      <c r="E21" s="246">
        <v>1340</v>
      </c>
      <c r="F21" s="239">
        <v>3092</v>
      </c>
      <c r="G21" s="216"/>
    </row>
    <row r="22" spans="4:7">
      <c r="D22" s="239">
        <v>1231</v>
      </c>
      <c r="E22" s="216">
        <v>1410</v>
      </c>
      <c r="F22" s="239">
        <v>3114</v>
      </c>
      <c r="G22" s="216"/>
    </row>
    <row r="23" spans="4:7">
      <c r="D23" s="239">
        <v>1232</v>
      </c>
      <c r="E23" s="246">
        <v>1414</v>
      </c>
      <c r="F23" s="239">
        <v>3115</v>
      </c>
      <c r="G23" s="216"/>
    </row>
    <row r="24" spans="4:7">
      <c r="D24" s="239">
        <v>1233</v>
      </c>
      <c r="E24" s="216">
        <v>1434</v>
      </c>
      <c r="F24" s="239">
        <v>3163</v>
      </c>
      <c r="G24" s="216"/>
    </row>
    <row r="25" spans="4:7">
      <c r="D25" s="239">
        <v>1234</v>
      </c>
      <c r="E25" s="216">
        <v>1435</v>
      </c>
      <c r="F25" s="239">
        <v>3171</v>
      </c>
    </row>
    <row r="26" spans="4:7">
      <c r="D26" s="239">
        <v>1235</v>
      </c>
      <c r="E26" s="216">
        <v>1438</v>
      </c>
      <c r="F26" s="239">
        <v>3205</v>
      </c>
    </row>
    <row r="27" spans="4:7">
      <c r="D27" s="239">
        <v>1236</v>
      </c>
      <c r="E27" s="216">
        <v>1440</v>
      </c>
      <c r="F27" s="239">
        <v>3218</v>
      </c>
    </row>
    <row r="28" spans="4:7">
      <c r="D28" s="239">
        <v>1262</v>
      </c>
      <c r="E28" s="216">
        <v>1441</v>
      </c>
      <c r="F28" s="239">
        <v>3226</v>
      </c>
    </row>
    <row r="29" spans="4:7">
      <c r="D29" s="239">
        <v>1301</v>
      </c>
      <c r="E29" s="216">
        <v>1445</v>
      </c>
      <c r="F29" s="239">
        <v>3228</v>
      </c>
    </row>
    <row r="30" spans="4:7">
      <c r="D30" s="239">
        <v>1303</v>
      </c>
      <c r="E30" s="216">
        <v>1451</v>
      </c>
      <c r="F30" s="239">
        <v>3236</v>
      </c>
    </row>
    <row r="31" spans="4:7">
      <c r="D31" s="239">
        <v>1304</v>
      </c>
      <c r="E31" s="246">
        <v>1452</v>
      </c>
      <c r="F31" s="239">
        <v>3268</v>
      </c>
    </row>
    <row r="32" spans="4:7">
      <c r="D32" s="239">
        <v>1305</v>
      </c>
      <c r="E32" s="246">
        <v>1454</v>
      </c>
      <c r="F32" s="239">
        <v>3294</v>
      </c>
    </row>
    <row r="33" spans="4:6">
      <c r="D33" s="239">
        <v>1307</v>
      </c>
      <c r="E33" s="246">
        <v>1459</v>
      </c>
      <c r="F33" s="239">
        <v>3313</v>
      </c>
    </row>
    <row r="34" spans="4:6">
      <c r="D34" s="239">
        <v>1308</v>
      </c>
      <c r="E34" s="216">
        <v>1460</v>
      </c>
      <c r="F34" s="239">
        <v>3332</v>
      </c>
    </row>
    <row r="35" spans="4:6">
      <c r="D35" s="239">
        <v>1309</v>
      </c>
      <c r="E35" s="216">
        <v>1469</v>
      </c>
      <c r="F35" s="239">
        <v>3354</v>
      </c>
    </row>
    <row r="36" spans="4:6">
      <c r="D36" s="239">
        <v>1310</v>
      </c>
      <c r="E36" s="216">
        <v>1473</v>
      </c>
      <c r="F36" s="239">
        <v>3363</v>
      </c>
    </row>
    <row r="37" spans="4:6">
      <c r="D37" s="239">
        <v>1312</v>
      </c>
      <c r="E37" s="246">
        <v>1474</v>
      </c>
      <c r="F37" s="239">
        <v>3431</v>
      </c>
    </row>
    <row r="38" spans="4:6">
      <c r="D38" s="239">
        <v>1313</v>
      </c>
      <c r="E38" s="216">
        <v>1476</v>
      </c>
      <c r="F38" s="239">
        <v>3434</v>
      </c>
    </row>
    <row r="39" spans="4:6">
      <c r="D39" s="239">
        <v>1314</v>
      </c>
      <c r="E39" s="216">
        <v>1477</v>
      </c>
      <c r="F39" s="239">
        <v>3484</v>
      </c>
    </row>
    <row r="40" spans="4:6">
      <c r="D40" s="239">
        <v>1315</v>
      </c>
      <c r="E40" s="216">
        <v>1515</v>
      </c>
      <c r="F40" s="239">
        <v>3490</v>
      </c>
    </row>
    <row r="41" spans="4:6">
      <c r="D41" s="239">
        <v>1316</v>
      </c>
      <c r="E41" s="216">
        <v>1516</v>
      </c>
      <c r="F41" s="239">
        <v>3520</v>
      </c>
    </row>
    <row r="42" spans="4:6">
      <c r="D42" s="239">
        <v>1319</v>
      </c>
      <c r="E42" s="216">
        <v>1519</v>
      </c>
      <c r="F42" s="239">
        <v>3537</v>
      </c>
    </row>
    <row r="43" spans="4:6">
      <c r="D43" s="239">
        <v>1321</v>
      </c>
      <c r="E43" s="216">
        <v>1524</v>
      </c>
      <c r="F43" s="239">
        <v>3552</v>
      </c>
    </row>
    <row r="44" spans="4:6">
      <c r="D44" s="239">
        <v>1323</v>
      </c>
      <c r="E44" s="216">
        <v>1527</v>
      </c>
      <c r="F44" s="239">
        <v>3555</v>
      </c>
    </row>
    <row r="45" spans="4:6">
      <c r="D45" s="239">
        <v>1324</v>
      </c>
      <c r="E45" s="246">
        <v>1530</v>
      </c>
      <c r="F45" s="239">
        <v>3564</v>
      </c>
    </row>
    <row r="46" spans="4:6">
      <c r="D46" s="239">
        <v>1325</v>
      </c>
      <c r="E46" s="246">
        <v>1535</v>
      </c>
      <c r="F46" s="239">
        <v>3570</v>
      </c>
    </row>
    <row r="47" spans="4:6">
      <c r="D47" s="239">
        <v>1326</v>
      </c>
      <c r="E47" s="216">
        <v>1536</v>
      </c>
      <c r="F47" s="239">
        <v>3580</v>
      </c>
    </row>
    <row r="48" spans="4:6">
      <c r="D48" s="239">
        <v>1337</v>
      </c>
      <c r="E48" s="246">
        <v>1537</v>
      </c>
      <c r="F48" s="239">
        <v>3629</v>
      </c>
    </row>
    <row r="49" spans="4:6">
      <c r="D49" s="239">
        <v>1338</v>
      </c>
      <c r="E49" s="216">
        <v>1558</v>
      </c>
      <c r="F49" s="239">
        <v>3642</v>
      </c>
    </row>
    <row r="50" spans="4:6">
      <c r="D50" s="239">
        <v>1339</v>
      </c>
      <c r="E50" s="246">
        <v>1560</v>
      </c>
      <c r="F50" s="239">
        <v>3646</v>
      </c>
    </row>
    <row r="51" spans="4:6">
      <c r="D51" s="239">
        <v>1340</v>
      </c>
      <c r="E51" s="246">
        <v>1565</v>
      </c>
      <c r="F51" s="239">
        <v>3707</v>
      </c>
    </row>
    <row r="52" spans="4:6">
      <c r="D52" s="239">
        <v>1402</v>
      </c>
      <c r="E52" s="216">
        <v>1566</v>
      </c>
      <c r="F52" s="239">
        <v>4105</v>
      </c>
    </row>
    <row r="53" spans="4:6">
      <c r="D53" s="239">
        <v>1410</v>
      </c>
      <c r="E53" s="216">
        <v>1580</v>
      </c>
      <c r="F53" s="239">
        <v>4109</v>
      </c>
    </row>
    <row r="54" spans="4:6">
      <c r="D54" s="239">
        <v>1413</v>
      </c>
      <c r="E54" s="246">
        <v>1582</v>
      </c>
      <c r="F54" s="239">
        <v>4111</v>
      </c>
    </row>
    <row r="55" spans="4:6">
      <c r="D55" s="239">
        <v>1414</v>
      </c>
      <c r="E55" s="216">
        <v>1584</v>
      </c>
      <c r="F55" s="239">
        <v>4138</v>
      </c>
    </row>
    <row r="56" spans="4:6">
      <c r="D56" s="239">
        <v>1416</v>
      </c>
      <c r="E56" s="216">
        <v>1589</v>
      </c>
      <c r="F56" s="239">
        <v>4161</v>
      </c>
    </row>
    <row r="57" spans="4:6">
      <c r="D57" s="239">
        <v>1417</v>
      </c>
      <c r="E57" s="216">
        <v>1590</v>
      </c>
      <c r="F57" s="239">
        <v>4162</v>
      </c>
    </row>
    <row r="58" spans="4:6">
      <c r="D58" s="239">
        <v>1418</v>
      </c>
      <c r="E58" s="239">
        <v>1591</v>
      </c>
      <c r="F58" s="239">
        <v>4167</v>
      </c>
    </row>
    <row r="59" spans="4:6">
      <c r="D59" s="239">
        <v>1419</v>
      </c>
      <c r="E59" s="239">
        <v>1593</v>
      </c>
      <c r="F59" s="239">
        <v>4192</v>
      </c>
    </row>
    <row r="60" spans="4:6">
      <c r="D60" s="239">
        <v>1423</v>
      </c>
      <c r="E60" s="20">
        <v>1597</v>
      </c>
      <c r="F60" s="239">
        <v>4198</v>
      </c>
    </row>
    <row r="61" spans="4:6">
      <c r="D61" s="239">
        <v>1432</v>
      </c>
      <c r="E61" s="239">
        <v>1599</v>
      </c>
      <c r="F61" s="239">
        <v>4303</v>
      </c>
    </row>
    <row r="62" spans="4:6">
      <c r="D62" s="239">
        <v>1434</v>
      </c>
      <c r="E62" s="246">
        <v>1605</v>
      </c>
      <c r="F62" s="239">
        <v>4416</v>
      </c>
    </row>
    <row r="63" spans="4:6">
      <c r="D63" s="239">
        <v>1436</v>
      </c>
      <c r="E63" s="216">
        <v>1612</v>
      </c>
      <c r="F63" s="239">
        <v>4420</v>
      </c>
    </row>
    <row r="64" spans="4:6">
      <c r="D64" s="239">
        <v>1437</v>
      </c>
      <c r="E64" s="246">
        <v>1626</v>
      </c>
      <c r="F64" s="239">
        <v>4429</v>
      </c>
    </row>
    <row r="65" spans="4:7">
      <c r="D65" s="239">
        <v>1438</v>
      </c>
      <c r="E65" s="216">
        <v>1701</v>
      </c>
      <c r="F65" s="239">
        <v>4432</v>
      </c>
    </row>
    <row r="66" spans="4:7">
      <c r="D66" s="239">
        <v>1439</v>
      </c>
      <c r="E66" s="216">
        <v>1707</v>
      </c>
      <c r="F66" s="239">
        <v>4523</v>
      </c>
    </row>
    <row r="67" spans="4:7">
      <c r="D67" s="239">
        <v>1440</v>
      </c>
      <c r="E67" s="246">
        <v>1708</v>
      </c>
      <c r="F67" s="239">
        <v>4534</v>
      </c>
    </row>
    <row r="68" spans="4:7">
      <c r="D68" s="239">
        <v>1441</v>
      </c>
      <c r="E68" s="216">
        <v>1713</v>
      </c>
      <c r="F68" s="239">
        <v>4542</v>
      </c>
    </row>
    <row r="69" spans="4:7">
      <c r="D69" s="239">
        <v>1442</v>
      </c>
      <c r="E69" s="246">
        <v>1717</v>
      </c>
      <c r="F69" s="239">
        <v>4716</v>
      </c>
    </row>
    <row r="70" spans="4:7">
      <c r="D70" s="239">
        <v>1443</v>
      </c>
      <c r="E70" s="246">
        <v>1720</v>
      </c>
      <c r="F70" s="239">
        <v>4728</v>
      </c>
    </row>
    <row r="71" spans="4:7">
      <c r="D71" s="239">
        <v>1444</v>
      </c>
      <c r="E71" s="216">
        <v>1723</v>
      </c>
      <c r="F71" s="239">
        <v>4735</v>
      </c>
    </row>
    <row r="72" spans="4:7">
      <c r="D72" s="239">
        <v>1445</v>
      </c>
      <c r="E72" s="246">
        <v>1724</v>
      </c>
      <c r="F72" s="239">
        <v>4736</v>
      </c>
    </row>
    <row r="73" spans="4:7">
      <c r="D73" s="239">
        <v>1446</v>
      </c>
      <c r="E73" s="216">
        <v>1726</v>
      </c>
      <c r="F73" s="239">
        <v>4739</v>
      </c>
    </row>
    <row r="74" spans="4:7">
      <c r="D74" s="239">
        <v>1447</v>
      </c>
      <c r="E74" s="246">
        <v>1730</v>
      </c>
      <c r="F74" s="239">
        <v>4747</v>
      </c>
    </row>
    <row r="75" spans="4:7">
      <c r="D75" s="239">
        <v>1449</v>
      </c>
      <c r="E75" s="216">
        <v>1731</v>
      </c>
      <c r="F75" s="239">
        <v>4905</v>
      </c>
    </row>
    <row r="76" spans="4:7">
      <c r="D76" s="239">
        <v>1451</v>
      </c>
      <c r="E76" s="216">
        <v>1733</v>
      </c>
      <c r="F76" s="239">
        <v>4907</v>
      </c>
    </row>
    <row r="77" spans="4:7">
      <c r="D77" s="239">
        <v>1452</v>
      </c>
      <c r="E77" s="216">
        <v>1736</v>
      </c>
      <c r="F77" s="239">
        <v>4909</v>
      </c>
    </row>
    <row r="78" spans="4:7">
      <c r="D78" s="239">
        <v>1453</v>
      </c>
      <c r="E78" s="216">
        <v>1737</v>
      </c>
      <c r="F78" s="239">
        <v>4965</v>
      </c>
      <c r="G78" s="216"/>
    </row>
    <row r="79" spans="4:7">
      <c r="D79" s="239">
        <v>1454</v>
      </c>
      <c r="E79" s="239">
        <v>1752</v>
      </c>
      <c r="F79" s="239">
        <v>5013</v>
      </c>
      <c r="G79" s="216"/>
    </row>
    <row r="80" spans="4:7">
      <c r="D80" s="239">
        <v>1455</v>
      </c>
      <c r="E80" s="246">
        <v>1773</v>
      </c>
      <c r="F80" s="239">
        <v>5213</v>
      </c>
      <c r="G80" s="216"/>
    </row>
    <row r="81" spans="4:7">
      <c r="D81" s="239">
        <v>1456</v>
      </c>
      <c r="E81" s="20">
        <v>1777</v>
      </c>
      <c r="F81" s="239">
        <v>5251</v>
      </c>
      <c r="G81" s="216"/>
    </row>
    <row r="82" spans="4:7">
      <c r="D82" s="239">
        <v>1457</v>
      </c>
      <c r="E82" s="239">
        <v>1781</v>
      </c>
      <c r="F82" s="239">
        <v>5278</v>
      </c>
      <c r="G82" s="216"/>
    </row>
    <row r="83" spans="4:7">
      <c r="D83" s="239">
        <v>1459</v>
      </c>
      <c r="E83" s="20">
        <v>1785</v>
      </c>
      <c r="F83" s="239">
        <v>5284</v>
      </c>
      <c r="G83" s="216"/>
    </row>
    <row r="84" spans="4:7">
      <c r="D84" s="239">
        <v>1460</v>
      </c>
      <c r="E84" s="246">
        <v>1789</v>
      </c>
      <c r="F84" s="239">
        <v>5287</v>
      </c>
      <c r="G84" s="216"/>
    </row>
    <row r="85" spans="4:7">
      <c r="D85" s="239">
        <v>1463</v>
      </c>
      <c r="E85" s="216">
        <v>1808</v>
      </c>
      <c r="F85" s="239">
        <v>5302</v>
      </c>
      <c r="G85" s="216"/>
    </row>
    <row r="86" spans="4:7">
      <c r="D86" s="239">
        <v>1464</v>
      </c>
      <c r="E86" s="216">
        <v>1809</v>
      </c>
      <c r="F86" s="239">
        <v>5306</v>
      </c>
      <c r="G86" s="216"/>
    </row>
    <row r="87" spans="4:7">
      <c r="D87" s="239">
        <v>1465</v>
      </c>
      <c r="E87" s="239">
        <v>1813</v>
      </c>
      <c r="F87" s="239">
        <v>5309</v>
      </c>
      <c r="G87" s="216"/>
    </row>
    <row r="88" spans="4:7">
      <c r="D88" s="239">
        <v>1466</v>
      </c>
      <c r="E88" s="246">
        <v>1817</v>
      </c>
      <c r="F88" s="239">
        <v>5321</v>
      </c>
      <c r="G88" s="216"/>
    </row>
    <row r="89" spans="4:7">
      <c r="D89" s="239">
        <v>1467</v>
      </c>
      <c r="E89" s="216">
        <v>1906</v>
      </c>
      <c r="F89" s="239">
        <v>5344</v>
      </c>
      <c r="G89" s="216"/>
    </row>
    <row r="90" spans="4:7">
      <c r="D90" s="239">
        <v>1468</v>
      </c>
      <c r="E90" s="216">
        <v>2002</v>
      </c>
      <c r="F90" s="239">
        <v>5345</v>
      </c>
      <c r="G90" s="216"/>
    </row>
    <row r="91" spans="4:7">
      <c r="D91" s="239">
        <v>1469</v>
      </c>
      <c r="E91" s="216">
        <v>2008</v>
      </c>
      <c r="F91" s="239">
        <v>5353</v>
      </c>
      <c r="G91" s="216"/>
    </row>
    <row r="92" spans="4:7">
      <c r="D92" s="239">
        <v>1470</v>
      </c>
      <c r="E92" s="216">
        <v>2012</v>
      </c>
      <c r="F92" s="239">
        <v>5383</v>
      </c>
      <c r="G92" s="216"/>
    </row>
    <row r="93" spans="4:7">
      <c r="D93" s="239">
        <v>1471</v>
      </c>
      <c r="E93" s="246">
        <v>2013</v>
      </c>
      <c r="F93" s="239">
        <v>5438</v>
      </c>
      <c r="G93" s="216"/>
    </row>
    <row r="94" spans="4:7">
      <c r="D94" s="239">
        <v>1472</v>
      </c>
      <c r="E94" s="216">
        <v>2014</v>
      </c>
      <c r="F94" s="239">
        <v>5455</v>
      </c>
      <c r="G94" s="216"/>
    </row>
    <row r="95" spans="4:7">
      <c r="D95" s="239">
        <v>1473</v>
      </c>
      <c r="E95" s="246">
        <v>2015</v>
      </c>
      <c r="F95" s="239">
        <v>5460</v>
      </c>
      <c r="G95" s="216"/>
    </row>
    <row r="96" spans="4:7">
      <c r="D96" s="239">
        <v>1474</v>
      </c>
      <c r="E96" s="216">
        <v>2024</v>
      </c>
      <c r="F96" s="239">
        <v>5481</v>
      </c>
      <c r="G96" s="216"/>
    </row>
    <row r="97" spans="4:7">
      <c r="D97" s="239">
        <v>1475</v>
      </c>
      <c r="E97" s="216">
        <v>2025</v>
      </c>
      <c r="F97" s="239">
        <v>5511</v>
      </c>
      <c r="G97" s="216"/>
    </row>
    <row r="98" spans="4:7">
      <c r="D98" s="239">
        <v>1476</v>
      </c>
      <c r="E98" s="216">
        <v>2030</v>
      </c>
      <c r="F98" s="239">
        <v>5516</v>
      </c>
      <c r="G98" s="216"/>
    </row>
    <row r="99" spans="4:7">
      <c r="D99" s="239">
        <v>1477</v>
      </c>
      <c r="E99" s="246">
        <v>2031</v>
      </c>
      <c r="F99" s="239">
        <v>5520</v>
      </c>
      <c r="G99" s="216"/>
    </row>
    <row r="100" spans="4:7">
      <c r="D100" s="239">
        <v>1503</v>
      </c>
      <c r="E100" s="216">
        <v>2032</v>
      </c>
      <c r="F100" s="239">
        <v>5529</v>
      </c>
      <c r="G100" s="216"/>
    </row>
    <row r="101" spans="4:7">
      <c r="D101" s="239">
        <v>1504</v>
      </c>
      <c r="E101" s="216">
        <v>2033</v>
      </c>
      <c r="F101" s="239">
        <v>5878</v>
      </c>
      <c r="G101" s="216"/>
    </row>
    <row r="102" spans="4:7">
      <c r="D102" s="239">
        <v>1506</v>
      </c>
      <c r="E102" s="216">
        <v>2034</v>
      </c>
      <c r="F102" s="239">
        <v>5905</v>
      </c>
      <c r="G102" s="216"/>
    </row>
    <row r="103" spans="4:7">
      <c r="D103" s="239">
        <v>1507</v>
      </c>
      <c r="E103" s="239">
        <v>2035</v>
      </c>
      <c r="F103" s="239">
        <v>6124</v>
      </c>
      <c r="G103" s="216"/>
    </row>
    <row r="104" spans="4:7">
      <c r="D104" s="239">
        <v>1512</v>
      </c>
      <c r="E104" s="216">
        <v>2049</v>
      </c>
      <c r="F104" s="239">
        <v>6144</v>
      </c>
      <c r="G104" s="216"/>
    </row>
    <row r="105" spans="4:7">
      <c r="D105" s="239">
        <v>1513</v>
      </c>
      <c r="E105" s="246">
        <v>2059</v>
      </c>
      <c r="F105" s="239">
        <v>6148</v>
      </c>
      <c r="G105" s="216"/>
    </row>
    <row r="106" spans="4:7">
      <c r="D106" s="239">
        <v>1514</v>
      </c>
      <c r="E106" s="239">
        <v>2061</v>
      </c>
      <c r="F106" s="239">
        <v>6150</v>
      </c>
      <c r="G106" s="216"/>
    </row>
    <row r="107" spans="4:7">
      <c r="D107" s="239">
        <v>1515</v>
      </c>
      <c r="E107" s="246">
        <v>2062</v>
      </c>
      <c r="F107" s="239">
        <v>6151</v>
      </c>
    </row>
    <row r="108" spans="4:7">
      <c r="D108" s="239">
        <v>1516</v>
      </c>
      <c r="E108" s="20">
        <v>2064</v>
      </c>
      <c r="F108" s="239">
        <v>6156</v>
      </c>
    </row>
    <row r="109" spans="4:7">
      <c r="D109" s="239">
        <v>1517</v>
      </c>
      <c r="E109" s="239">
        <v>2066</v>
      </c>
      <c r="F109" s="239">
        <v>6170</v>
      </c>
    </row>
    <row r="110" spans="4:7">
      <c r="D110" s="239">
        <v>1519</v>
      </c>
      <c r="E110" s="216">
        <v>2105</v>
      </c>
      <c r="F110" s="239">
        <v>6198</v>
      </c>
    </row>
    <row r="111" spans="4:7">
      <c r="D111" s="239">
        <v>1521</v>
      </c>
      <c r="E111" s="246">
        <v>2108</v>
      </c>
      <c r="F111" s="239">
        <v>6203</v>
      </c>
    </row>
    <row r="112" spans="4:7">
      <c r="D112" s="239">
        <v>1522</v>
      </c>
      <c r="E112" s="246">
        <v>2115</v>
      </c>
      <c r="F112" s="239">
        <v>6212</v>
      </c>
    </row>
    <row r="113" spans="4:6">
      <c r="D113" s="239">
        <v>1524</v>
      </c>
      <c r="E113" s="216">
        <v>2207</v>
      </c>
      <c r="F113" s="239">
        <v>6217</v>
      </c>
    </row>
    <row r="114" spans="4:6">
      <c r="D114" s="239">
        <v>1525</v>
      </c>
      <c r="E114" s="216">
        <v>2208</v>
      </c>
      <c r="F114" s="239">
        <v>6221</v>
      </c>
    </row>
    <row r="115" spans="4:6">
      <c r="D115" s="239">
        <v>1526</v>
      </c>
      <c r="E115" s="246">
        <v>2227</v>
      </c>
      <c r="F115" s="239">
        <v>6241</v>
      </c>
    </row>
    <row r="116" spans="4:6">
      <c r="D116" s="239">
        <v>1527</v>
      </c>
      <c r="E116" s="216">
        <v>2228</v>
      </c>
      <c r="F116" s="239">
        <v>6245</v>
      </c>
    </row>
    <row r="117" spans="4:6">
      <c r="D117" s="239">
        <v>1528</v>
      </c>
      <c r="E117" s="216">
        <v>2231</v>
      </c>
      <c r="F117" s="239">
        <v>6247</v>
      </c>
    </row>
    <row r="118" spans="4:6">
      <c r="D118" s="239">
        <v>1529</v>
      </c>
      <c r="E118" s="239">
        <v>2235</v>
      </c>
      <c r="F118" s="239">
        <v>6266</v>
      </c>
    </row>
    <row r="119" spans="4:6">
      <c r="D119" s="239">
        <v>1530</v>
      </c>
      <c r="E119" s="216">
        <v>2236</v>
      </c>
      <c r="F119" s="239">
        <v>6287</v>
      </c>
    </row>
    <row r="120" spans="4:6">
      <c r="D120" s="239">
        <v>1531</v>
      </c>
      <c r="E120" s="246">
        <v>2302</v>
      </c>
      <c r="F120" s="239">
        <v>6298</v>
      </c>
    </row>
    <row r="121" spans="4:6">
      <c r="D121" s="239">
        <v>1532</v>
      </c>
      <c r="E121" s="246">
        <v>2303</v>
      </c>
      <c r="F121" s="239">
        <v>6432</v>
      </c>
    </row>
    <row r="122" spans="4:6">
      <c r="D122" s="239">
        <v>1533</v>
      </c>
      <c r="E122" s="246">
        <v>2308</v>
      </c>
      <c r="F122" s="239">
        <v>8027</v>
      </c>
    </row>
    <row r="123" spans="4:6">
      <c r="D123" s="239">
        <v>1535</v>
      </c>
      <c r="E123" s="239">
        <v>2313</v>
      </c>
      <c r="F123" s="239">
        <v>8044</v>
      </c>
    </row>
    <row r="124" spans="4:6">
      <c r="D124" s="239">
        <v>1536</v>
      </c>
      <c r="E124" s="239">
        <v>2314</v>
      </c>
      <c r="F124" s="239">
        <v>8047</v>
      </c>
    </row>
    <row r="125" spans="4:6">
      <c r="D125" s="239">
        <v>1537</v>
      </c>
      <c r="E125" s="246">
        <v>2325</v>
      </c>
      <c r="F125" s="239">
        <v>8048</v>
      </c>
    </row>
    <row r="126" spans="4:6">
      <c r="D126" s="239">
        <v>1538</v>
      </c>
      <c r="E126" s="239">
        <v>2327</v>
      </c>
      <c r="F126" s="239">
        <v>8064</v>
      </c>
    </row>
    <row r="127" spans="4:6">
      <c r="D127" s="239">
        <v>1539</v>
      </c>
      <c r="E127" s="239">
        <v>2328</v>
      </c>
      <c r="F127" s="239">
        <v>8066</v>
      </c>
    </row>
    <row r="128" spans="4:6">
      <c r="D128" s="239">
        <v>1540</v>
      </c>
      <c r="E128" s="239">
        <v>2330</v>
      </c>
      <c r="F128" s="239">
        <v>8068</v>
      </c>
    </row>
    <row r="129" spans="4:6">
      <c r="D129" s="239">
        <v>1541</v>
      </c>
      <c r="E129" s="239">
        <v>2337</v>
      </c>
      <c r="F129" s="239">
        <v>8082</v>
      </c>
    </row>
    <row r="130" spans="4:6">
      <c r="D130" s="239">
        <v>1558</v>
      </c>
      <c r="E130" s="239">
        <v>2340</v>
      </c>
      <c r="F130" s="239">
        <v>8087</v>
      </c>
    </row>
    <row r="131" spans="4:6">
      <c r="D131" s="239">
        <v>1560</v>
      </c>
      <c r="E131" s="246">
        <v>2344</v>
      </c>
      <c r="F131" s="239">
        <v>8091</v>
      </c>
    </row>
    <row r="132" spans="4:6">
      <c r="D132" s="239">
        <v>1568</v>
      </c>
      <c r="E132" s="239">
        <v>2345</v>
      </c>
      <c r="F132" s="239">
        <v>8092</v>
      </c>
    </row>
    <row r="133" spans="4:6">
      <c r="D133" s="239">
        <v>1582</v>
      </c>
      <c r="E133" s="246">
        <v>2353</v>
      </c>
      <c r="F133" s="239">
        <v>8097</v>
      </c>
    </row>
    <row r="134" spans="4:6">
      <c r="D134" s="239">
        <v>1583</v>
      </c>
      <c r="E134" s="239">
        <v>2357</v>
      </c>
      <c r="F134" s="239">
        <v>8107</v>
      </c>
    </row>
    <row r="135" spans="4:6">
      <c r="D135" s="239">
        <v>1589</v>
      </c>
      <c r="E135" s="246">
        <v>2363</v>
      </c>
      <c r="F135" s="239">
        <v>8109</v>
      </c>
    </row>
    <row r="136" spans="4:6">
      <c r="D136" s="239">
        <v>1590</v>
      </c>
      <c r="E136" s="239">
        <v>2365</v>
      </c>
      <c r="F136" s="239">
        <v>8176</v>
      </c>
    </row>
    <row r="137" spans="4:6">
      <c r="D137" s="239">
        <v>1592</v>
      </c>
      <c r="E137" s="246">
        <v>2367</v>
      </c>
      <c r="F137" s="239">
        <v>8183</v>
      </c>
    </row>
    <row r="138" spans="4:6">
      <c r="D138" s="239">
        <v>1603</v>
      </c>
      <c r="E138" s="246">
        <v>2369</v>
      </c>
      <c r="F138" s="239">
        <v>8277</v>
      </c>
    </row>
    <row r="139" spans="4:6">
      <c r="D139" s="239">
        <v>1604</v>
      </c>
      <c r="E139" s="239">
        <v>2373</v>
      </c>
      <c r="F139" s="239">
        <v>8287</v>
      </c>
    </row>
    <row r="140" spans="4:6">
      <c r="D140" s="239">
        <v>1605</v>
      </c>
      <c r="E140" s="246">
        <v>2374</v>
      </c>
      <c r="F140" s="239">
        <v>8383</v>
      </c>
    </row>
    <row r="141" spans="4:6">
      <c r="D141" s="239">
        <v>1608</v>
      </c>
      <c r="E141" s="239">
        <v>2379</v>
      </c>
      <c r="F141" s="239">
        <v>8403</v>
      </c>
    </row>
    <row r="142" spans="4:6">
      <c r="D142" s="239">
        <v>1609</v>
      </c>
      <c r="E142" s="239">
        <v>2380</v>
      </c>
      <c r="F142" s="239">
        <v>8409</v>
      </c>
    </row>
    <row r="143" spans="4:6">
      <c r="D143" s="239">
        <v>1611</v>
      </c>
      <c r="E143" s="239">
        <v>2382</v>
      </c>
      <c r="F143" s="239">
        <v>8410</v>
      </c>
    </row>
    <row r="144" spans="4:6">
      <c r="D144" s="239">
        <v>1612</v>
      </c>
      <c r="E144" s="246">
        <v>2383</v>
      </c>
      <c r="F144" s="239">
        <v>8416</v>
      </c>
    </row>
    <row r="145" spans="4:6">
      <c r="D145" s="239">
        <v>1613</v>
      </c>
      <c r="E145" s="239">
        <v>2387</v>
      </c>
      <c r="F145" s="239">
        <v>8424</v>
      </c>
    </row>
    <row r="146" spans="4:6">
      <c r="D146" s="239">
        <v>1614</v>
      </c>
      <c r="E146" s="246">
        <v>2395</v>
      </c>
      <c r="F146" s="239">
        <v>8433</v>
      </c>
    </row>
    <row r="147" spans="4:6">
      <c r="D147" s="239">
        <v>1615</v>
      </c>
      <c r="E147" s="239">
        <v>2405</v>
      </c>
      <c r="F147" s="239">
        <v>8905</v>
      </c>
    </row>
    <row r="148" spans="4:6">
      <c r="D148" s="239">
        <v>1616</v>
      </c>
      <c r="E148" s="239">
        <v>2408</v>
      </c>
      <c r="F148" s="239">
        <v>8927</v>
      </c>
    </row>
    <row r="149" spans="4:6">
      <c r="D149" s="239">
        <v>1617</v>
      </c>
      <c r="E149" s="239">
        <v>2412</v>
      </c>
      <c r="F149" s="239">
        <v>8929</v>
      </c>
    </row>
    <row r="150" spans="4:6">
      <c r="D150" s="239">
        <v>1618</v>
      </c>
      <c r="E150" s="239">
        <v>2413</v>
      </c>
      <c r="F150" s="239">
        <v>8937</v>
      </c>
    </row>
    <row r="151" spans="4:6">
      <c r="D151" s="239">
        <v>1626</v>
      </c>
      <c r="E151" s="239">
        <v>2415</v>
      </c>
      <c r="F151" s="239">
        <v>9950</v>
      </c>
    </row>
    <row r="152" spans="4:6">
      <c r="D152" s="239">
        <v>1701</v>
      </c>
      <c r="E152" s="239">
        <v>2421</v>
      </c>
      <c r="F152" s="239">
        <v>9960</v>
      </c>
    </row>
    <row r="153" spans="4:6">
      <c r="D153" s="239">
        <v>1702</v>
      </c>
      <c r="E153" s="239">
        <v>2426</v>
      </c>
      <c r="F153" s="239">
        <v>1103</v>
      </c>
    </row>
    <row r="154" spans="4:6">
      <c r="D154" s="239">
        <v>1704</v>
      </c>
      <c r="E154" s="239">
        <v>2428</v>
      </c>
      <c r="F154" s="239">
        <v>1108</v>
      </c>
    </row>
    <row r="155" spans="4:6">
      <c r="D155" s="239">
        <v>1707</v>
      </c>
      <c r="E155" s="239">
        <v>2433</v>
      </c>
      <c r="F155" s="239">
        <v>1110</v>
      </c>
    </row>
    <row r="156" spans="4:6">
      <c r="D156" s="239">
        <v>1708</v>
      </c>
      <c r="E156" s="239">
        <v>2436</v>
      </c>
      <c r="F156" s="239">
        <v>1225</v>
      </c>
    </row>
    <row r="157" spans="4:6">
      <c r="D157" s="239">
        <v>1709</v>
      </c>
      <c r="E157" s="246">
        <v>2437</v>
      </c>
      <c r="F157" s="239">
        <v>1310</v>
      </c>
    </row>
    <row r="158" spans="4:6">
      <c r="D158" s="239">
        <v>1710</v>
      </c>
      <c r="E158" s="246">
        <v>2439</v>
      </c>
      <c r="F158" s="239">
        <v>1312</v>
      </c>
    </row>
    <row r="159" spans="4:6">
      <c r="D159" s="239">
        <v>1711</v>
      </c>
      <c r="E159" s="239">
        <v>2441</v>
      </c>
      <c r="F159" s="239">
        <v>1315</v>
      </c>
    </row>
    <row r="160" spans="4:6">
      <c r="D160" s="239">
        <v>1712</v>
      </c>
      <c r="E160" s="246">
        <v>2442</v>
      </c>
      <c r="F160" s="239">
        <v>1321</v>
      </c>
    </row>
    <row r="161" spans="4:6">
      <c r="D161" s="239">
        <v>1713</v>
      </c>
      <c r="E161" s="239">
        <v>2443</v>
      </c>
      <c r="F161" s="239">
        <v>1324</v>
      </c>
    </row>
    <row r="162" spans="4:6">
      <c r="D162" s="239">
        <v>1714</v>
      </c>
      <c r="E162" s="246">
        <v>2448</v>
      </c>
      <c r="F162" s="239">
        <v>1417</v>
      </c>
    </row>
    <row r="163" spans="4:6">
      <c r="D163" s="239">
        <v>1715</v>
      </c>
      <c r="E163" s="239">
        <v>2450</v>
      </c>
      <c r="F163" s="239">
        <v>1419</v>
      </c>
    </row>
    <row r="164" spans="4:6">
      <c r="D164" s="239">
        <v>1717</v>
      </c>
      <c r="E164" s="246">
        <v>2451</v>
      </c>
      <c r="F164" s="239">
        <v>1423</v>
      </c>
    </row>
    <row r="165" spans="4:6">
      <c r="D165" s="239">
        <v>1720</v>
      </c>
      <c r="E165" s="246">
        <v>2455</v>
      </c>
      <c r="F165" s="239">
        <v>1432</v>
      </c>
    </row>
    <row r="166" spans="4:6">
      <c r="D166" s="239">
        <v>1721</v>
      </c>
      <c r="E166" s="239">
        <v>2456</v>
      </c>
      <c r="F166" s="239">
        <v>1436</v>
      </c>
    </row>
    <row r="167" spans="4:6">
      <c r="D167" s="239">
        <v>1722</v>
      </c>
      <c r="E167" s="20">
        <v>2457</v>
      </c>
      <c r="F167" s="239">
        <v>1437</v>
      </c>
    </row>
    <row r="168" spans="4:6">
      <c r="D168" s="239">
        <v>1723</v>
      </c>
      <c r="E168" s="239">
        <v>2458</v>
      </c>
      <c r="F168" s="239">
        <v>1439</v>
      </c>
    </row>
    <row r="169" spans="4:6">
      <c r="D169" s="239">
        <v>1724</v>
      </c>
      <c r="E169" s="239">
        <v>2471</v>
      </c>
      <c r="F169" s="239">
        <v>1444</v>
      </c>
    </row>
    <row r="170" spans="4:6">
      <c r="D170" s="239">
        <v>1725</v>
      </c>
      <c r="E170" s="239">
        <v>2472</v>
      </c>
      <c r="F170" s="239">
        <v>1446</v>
      </c>
    </row>
    <row r="171" spans="4:6">
      <c r="D171" s="239">
        <v>1726</v>
      </c>
      <c r="E171" s="239">
        <v>2476</v>
      </c>
      <c r="F171" s="239">
        <v>1447</v>
      </c>
    </row>
    <row r="172" spans="4:6">
      <c r="D172" s="239">
        <v>1727</v>
      </c>
      <c r="E172" s="20">
        <v>2478</v>
      </c>
      <c r="F172" s="239">
        <v>1455</v>
      </c>
    </row>
    <row r="173" spans="4:6">
      <c r="D173" s="239">
        <v>1729</v>
      </c>
      <c r="E173" s="239">
        <v>2480</v>
      </c>
      <c r="F173" s="239">
        <v>1463</v>
      </c>
    </row>
    <row r="174" spans="4:6">
      <c r="D174" s="239">
        <v>1730</v>
      </c>
      <c r="E174" s="239">
        <v>2481</v>
      </c>
      <c r="F174" s="239">
        <v>1464</v>
      </c>
    </row>
    <row r="175" spans="4:6">
      <c r="D175" s="239">
        <v>1731</v>
      </c>
      <c r="E175" s="239">
        <v>2483</v>
      </c>
      <c r="F175" s="239">
        <v>1466</v>
      </c>
    </row>
    <row r="176" spans="4:6">
      <c r="D176" s="239">
        <v>1732</v>
      </c>
      <c r="E176" s="239">
        <v>2484</v>
      </c>
      <c r="F176" s="239">
        <v>1470</v>
      </c>
    </row>
    <row r="177" spans="4:6">
      <c r="D177" s="239">
        <v>1733</v>
      </c>
      <c r="E177" s="20">
        <v>2486</v>
      </c>
      <c r="F177" s="239">
        <v>1471</v>
      </c>
    </row>
    <row r="178" spans="4:6">
      <c r="D178" s="239">
        <v>1734</v>
      </c>
      <c r="E178" s="239">
        <v>2488</v>
      </c>
      <c r="F178" s="239">
        <v>1507</v>
      </c>
    </row>
    <row r="179" spans="4:6">
      <c r="D179" s="239">
        <v>1735</v>
      </c>
      <c r="E179" s="246">
        <v>2489</v>
      </c>
      <c r="F179" s="239">
        <v>1512</v>
      </c>
    </row>
    <row r="180" spans="4:6">
      <c r="D180" s="239">
        <v>1736</v>
      </c>
      <c r="E180" s="239">
        <v>2492</v>
      </c>
      <c r="F180" s="239">
        <v>1513</v>
      </c>
    </row>
    <row r="181" spans="4:6">
      <c r="D181" s="239">
        <v>1737</v>
      </c>
      <c r="E181" s="239">
        <v>2493</v>
      </c>
      <c r="F181" s="239">
        <v>1514</v>
      </c>
    </row>
    <row r="182" spans="4:6">
      <c r="D182" s="239">
        <v>1762</v>
      </c>
      <c r="E182" s="239">
        <v>2495</v>
      </c>
      <c r="F182" s="239">
        <v>1522</v>
      </c>
    </row>
    <row r="183" spans="4:6">
      <c r="D183" s="239">
        <v>1773</v>
      </c>
      <c r="E183" s="246">
        <v>2497</v>
      </c>
      <c r="F183" s="239">
        <v>1525</v>
      </c>
    </row>
    <row r="184" spans="4:6">
      <c r="D184" s="239">
        <v>1783</v>
      </c>
      <c r="E184" s="239">
        <v>2498</v>
      </c>
      <c r="F184" s="239">
        <v>1526</v>
      </c>
    </row>
    <row r="185" spans="4:6">
      <c r="D185" s="239">
        <v>1786</v>
      </c>
      <c r="E185" s="239">
        <v>2506</v>
      </c>
      <c r="F185" s="239">
        <v>1540</v>
      </c>
    </row>
    <row r="186" spans="4:6">
      <c r="D186" s="239">
        <v>1789</v>
      </c>
      <c r="E186" s="239">
        <v>2509</v>
      </c>
      <c r="F186" s="239">
        <v>1541</v>
      </c>
    </row>
    <row r="187" spans="4:6">
      <c r="D187" s="239">
        <v>1802</v>
      </c>
      <c r="E187" s="20">
        <v>2511</v>
      </c>
      <c r="F187" s="239">
        <v>1568</v>
      </c>
    </row>
    <row r="188" spans="4:6">
      <c r="D188" s="239">
        <v>1805</v>
      </c>
      <c r="E188" s="20">
        <v>2530</v>
      </c>
      <c r="F188" s="239">
        <v>1604</v>
      </c>
    </row>
    <row r="189" spans="4:6">
      <c r="D189" s="239">
        <v>1806</v>
      </c>
      <c r="E189" s="239">
        <v>2534</v>
      </c>
      <c r="F189" s="239">
        <v>1608</v>
      </c>
    </row>
    <row r="190" spans="4:6">
      <c r="D190" s="239">
        <v>1808</v>
      </c>
      <c r="E190" s="20">
        <v>2536</v>
      </c>
      <c r="F190" s="239">
        <v>1614</v>
      </c>
    </row>
    <row r="191" spans="4:6">
      <c r="D191" s="239">
        <v>1809</v>
      </c>
      <c r="E191" s="239">
        <v>2537</v>
      </c>
      <c r="F191" s="239">
        <v>1615</v>
      </c>
    </row>
    <row r="192" spans="4:6">
      <c r="D192" s="239">
        <v>1810</v>
      </c>
      <c r="E192" s="239">
        <v>2539</v>
      </c>
      <c r="F192" s="239">
        <v>1617</v>
      </c>
    </row>
    <row r="193" spans="4:6">
      <c r="D193" s="239">
        <v>1817</v>
      </c>
      <c r="E193" s="20">
        <v>2542</v>
      </c>
      <c r="F193" s="239">
        <v>1704</v>
      </c>
    </row>
    <row r="194" spans="4:6">
      <c r="D194" s="239">
        <v>1902</v>
      </c>
      <c r="E194" s="20">
        <v>2548</v>
      </c>
      <c r="F194" s="239">
        <v>1712</v>
      </c>
    </row>
    <row r="195" spans="4:6">
      <c r="D195" s="239">
        <v>1903</v>
      </c>
      <c r="E195" s="239">
        <v>2597</v>
      </c>
      <c r="F195" s="239">
        <v>1721</v>
      </c>
    </row>
    <row r="196" spans="4:6">
      <c r="D196" s="239">
        <v>1904</v>
      </c>
      <c r="E196" s="20">
        <v>2612</v>
      </c>
      <c r="F196" s="239">
        <v>1725</v>
      </c>
    </row>
    <row r="197" spans="4:6">
      <c r="D197" s="239">
        <v>1905</v>
      </c>
      <c r="E197" s="239">
        <v>2634</v>
      </c>
      <c r="F197" s="239">
        <v>1727</v>
      </c>
    </row>
    <row r="198" spans="4:6">
      <c r="D198" s="239">
        <v>1906</v>
      </c>
      <c r="E198" s="246">
        <v>2637</v>
      </c>
      <c r="F198" s="239">
        <v>1732</v>
      </c>
    </row>
    <row r="199" spans="4:6">
      <c r="D199" s="239">
        <v>1907</v>
      </c>
      <c r="E199" s="20">
        <v>2641</v>
      </c>
      <c r="F199" s="239">
        <v>1735</v>
      </c>
    </row>
    <row r="200" spans="4:6">
      <c r="D200" s="239">
        <v>1909</v>
      </c>
      <c r="E200" s="20">
        <v>2701</v>
      </c>
      <c r="F200" s="239">
        <v>1762</v>
      </c>
    </row>
    <row r="201" spans="4:6">
      <c r="D201" s="239">
        <v>2002</v>
      </c>
      <c r="E201" s="239">
        <v>2702</v>
      </c>
      <c r="F201" s="239">
        <v>1783</v>
      </c>
    </row>
    <row r="202" spans="4:6">
      <c r="D202" s="239">
        <v>2006</v>
      </c>
      <c r="E202" s="239">
        <v>2704</v>
      </c>
      <c r="F202" s="239">
        <v>1786</v>
      </c>
    </row>
    <row r="203" spans="4:6">
      <c r="D203" s="239">
        <v>2007</v>
      </c>
      <c r="E203" s="20">
        <v>2706</v>
      </c>
      <c r="F203" s="239">
        <v>1805</v>
      </c>
    </row>
    <row r="204" spans="4:6">
      <c r="D204" s="239">
        <v>2008</v>
      </c>
      <c r="E204" s="20">
        <v>2707</v>
      </c>
      <c r="F204" s="239">
        <v>1810</v>
      </c>
    </row>
    <row r="205" spans="4:6">
      <c r="D205" s="239">
        <v>2009</v>
      </c>
      <c r="E205" s="20">
        <v>2712</v>
      </c>
      <c r="F205" s="239">
        <v>1903</v>
      </c>
    </row>
    <row r="206" spans="4:6">
      <c r="D206" s="239">
        <v>2010</v>
      </c>
      <c r="E206" s="239">
        <v>2719</v>
      </c>
      <c r="F206" s="239">
        <v>1904</v>
      </c>
    </row>
    <row r="207" spans="4:6">
      <c r="D207" s="239">
        <v>2012</v>
      </c>
      <c r="E207" s="239">
        <v>2723</v>
      </c>
      <c r="F207" s="239">
        <v>2007</v>
      </c>
    </row>
    <row r="208" spans="4:6">
      <c r="D208" s="239">
        <v>2013</v>
      </c>
      <c r="E208" s="239">
        <v>2726</v>
      </c>
      <c r="F208" s="239">
        <v>2009</v>
      </c>
    </row>
    <row r="209" spans="4:6">
      <c r="D209" s="239">
        <v>2014</v>
      </c>
      <c r="E209" s="20">
        <v>2727</v>
      </c>
      <c r="F209" s="239">
        <v>2017</v>
      </c>
    </row>
    <row r="210" spans="4:6">
      <c r="D210" s="239">
        <v>2015</v>
      </c>
      <c r="E210" s="239">
        <v>2731</v>
      </c>
      <c r="F210" s="239">
        <v>2027</v>
      </c>
    </row>
    <row r="211" spans="4:6">
      <c r="D211" s="239">
        <v>2017</v>
      </c>
      <c r="E211" s="239">
        <v>2732</v>
      </c>
      <c r="F211" s="239">
        <v>2101</v>
      </c>
    </row>
    <row r="212" spans="4:6">
      <c r="D212" s="239">
        <v>2020</v>
      </c>
      <c r="E212" s="239">
        <v>2901</v>
      </c>
      <c r="F212" s="239">
        <v>2102</v>
      </c>
    </row>
    <row r="213" spans="4:6">
      <c r="D213" s="239">
        <v>2022</v>
      </c>
      <c r="E213" s="239">
        <v>2908</v>
      </c>
      <c r="F213" s="239">
        <v>2103</v>
      </c>
    </row>
    <row r="214" spans="4:6">
      <c r="D214" s="239">
        <v>2023</v>
      </c>
      <c r="E214" s="239">
        <v>2912</v>
      </c>
      <c r="F214" s="239">
        <v>2107</v>
      </c>
    </row>
    <row r="215" spans="4:6">
      <c r="D215" s="239">
        <v>2024</v>
      </c>
      <c r="E215" s="239">
        <v>2913</v>
      </c>
      <c r="F215" s="239">
        <v>2114</v>
      </c>
    </row>
    <row r="216" spans="4:6">
      <c r="D216" s="239">
        <v>2025</v>
      </c>
      <c r="E216" s="20">
        <v>2923</v>
      </c>
      <c r="F216" s="239">
        <v>2201</v>
      </c>
    </row>
    <row r="217" spans="4:6">
      <c r="D217" s="239">
        <v>2027</v>
      </c>
      <c r="E217" s="20">
        <v>2926</v>
      </c>
      <c r="F217" s="239">
        <v>2305</v>
      </c>
    </row>
    <row r="218" spans="4:6">
      <c r="D218" s="239">
        <v>2028</v>
      </c>
      <c r="E218" s="239">
        <v>3003</v>
      </c>
      <c r="F218" s="239">
        <v>2311</v>
      </c>
    </row>
    <row r="219" spans="4:6">
      <c r="D219" s="239">
        <v>2029</v>
      </c>
      <c r="E219" s="20">
        <v>3004</v>
      </c>
      <c r="F219" s="239">
        <v>2316</v>
      </c>
    </row>
    <row r="220" spans="4:6">
      <c r="D220" s="239">
        <v>2030</v>
      </c>
      <c r="E220" s="239">
        <v>3005</v>
      </c>
      <c r="F220" s="239">
        <v>2332</v>
      </c>
    </row>
    <row r="221" spans="4:6">
      <c r="D221" s="239">
        <v>2031</v>
      </c>
      <c r="E221" s="239">
        <v>3006</v>
      </c>
      <c r="F221" s="239">
        <v>2347</v>
      </c>
    </row>
    <row r="222" spans="4:6">
      <c r="D222" s="239">
        <v>2032</v>
      </c>
      <c r="E222" s="20">
        <v>3008</v>
      </c>
      <c r="F222" s="239">
        <v>2355</v>
      </c>
    </row>
    <row r="223" spans="4:6">
      <c r="D223" s="239">
        <v>2033</v>
      </c>
      <c r="E223" s="20">
        <v>3011</v>
      </c>
      <c r="F223" s="239">
        <v>2360</v>
      </c>
    </row>
    <row r="224" spans="4:6">
      <c r="D224" s="239">
        <v>2034</v>
      </c>
      <c r="E224" s="20">
        <v>3013</v>
      </c>
      <c r="F224" s="239">
        <v>2377</v>
      </c>
    </row>
    <row r="225" spans="4:6">
      <c r="D225" s="239">
        <v>2038</v>
      </c>
      <c r="E225" s="20">
        <v>3014</v>
      </c>
      <c r="F225" s="239">
        <v>2385</v>
      </c>
    </row>
    <row r="226" spans="4:6">
      <c r="D226" s="239">
        <v>2049</v>
      </c>
      <c r="E226" s="246">
        <v>3015</v>
      </c>
      <c r="F226" s="239">
        <v>2390</v>
      </c>
    </row>
    <row r="227" spans="4:6">
      <c r="D227" s="239">
        <v>2059</v>
      </c>
      <c r="E227" s="20">
        <v>3019</v>
      </c>
      <c r="F227" s="239">
        <v>2397</v>
      </c>
    </row>
    <row r="228" spans="4:6">
      <c r="D228" s="239">
        <v>2062</v>
      </c>
      <c r="E228" s="20">
        <v>3023</v>
      </c>
      <c r="F228" s="239">
        <v>2399</v>
      </c>
    </row>
    <row r="229" spans="4:6">
      <c r="D229" s="239">
        <v>2101</v>
      </c>
      <c r="E229" s="20">
        <v>3026</v>
      </c>
      <c r="F229" s="239">
        <v>2401</v>
      </c>
    </row>
    <row r="230" spans="4:6">
      <c r="D230" s="239">
        <v>2102</v>
      </c>
      <c r="E230" s="20">
        <v>3029</v>
      </c>
      <c r="F230" s="239">
        <v>2406</v>
      </c>
    </row>
    <row r="231" spans="4:6">
      <c r="D231" s="239">
        <v>2103</v>
      </c>
      <c r="E231" s="246">
        <v>3030</v>
      </c>
      <c r="F231" s="239">
        <v>2414</v>
      </c>
    </row>
    <row r="232" spans="4:6">
      <c r="D232" s="239">
        <v>2104</v>
      </c>
      <c r="E232" s="239">
        <v>3033</v>
      </c>
      <c r="F232" s="239">
        <v>2417</v>
      </c>
    </row>
    <row r="233" spans="4:6">
      <c r="D233" s="239">
        <v>2105</v>
      </c>
      <c r="E233" s="20">
        <v>3034</v>
      </c>
      <c r="F233" s="239">
        <v>2420</v>
      </c>
    </row>
    <row r="234" spans="4:6">
      <c r="D234" s="239">
        <v>2106</v>
      </c>
      <c r="E234" s="20">
        <v>3035</v>
      </c>
      <c r="F234" s="239">
        <v>2424</v>
      </c>
    </row>
    <row r="235" spans="4:6">
      <c r="D235" s="239">
        <v>2107</v>
      </c>
      <c r="E235" s="239">
        <v>3042</v>
      </c>
      <c r="F235" s="239">
        <v>2427</v>
      </c>
    </row>
    <row r="236" spans="4:6">
      <c r="D236" s="239">
        <v>2108</v>
      </c>
      <c r="E236" s="20">
        <v>3044</v>
      </c>
      <c r="F236" s="239">
        <v>2429</v>
      </c>
    </row>
    <row r="237" spans="4:6">
      <c r="D237" s="239">
        <v>2109</v>
      </c>
      <c r="E237" s="246">
        <v>3045</v>
      </c>
      <c r="F237" s="239">
        <v>2431</v>
      </c>
    </row>
    <row r="238" spans="4:6">
      <c r="D238" s="239">
        <v>2114</v>
      </c>
      <c r="E238" s="20">
        <v>3047</v>
      </c>
      <c r="F238" s="239">
        <v>2449</v>
      </c>
    </row>
    <row r="239" spans="4:6">
      <c r="D239" s="239">
        <v>2115</v>
      </c>
      <c r="E239" s="20">
        <v>3049</v>
      </c>
      <c r="F239" s="239">
        <v>2453</v>
      </c>
    </row>
    <row r="240" spans="4:6">
      <c r="D240" s="239">
        <v>2201</v>
      </c>
      <c r="E240" s="20">
        <v>3054</v>
      </c>
      <c r="F240" s="239">
        <v>2459</v>
      </c>
    </row>
    <row r="241" spans="4:6">
      <c r="D241" s="239">
        <v>2204</v>
      </c>
      <c r="E241" s="239">
        <v>3058</v>
      </c>
      <c r="F241" s="239">
        <v>2460</v>
      </c>
    </row>
    <row r="242" spans="4:6">
      <c r="D242" s="239">
        <v>2206</v>
      </c>
      <c r="E242" s="239">
        <v>3060</v>
      </c>
      <c r="F242" s="239">
        <v>2464</v>
      </c>
    </row>
    <row r="243" spans="4:6">
      <c r="D243" s="239">
        <v>2207</v>
      </c>
      <c r="E243" s="246">
        <v>3068</v>
      </c>
      <c r="F243" s="239">
        <v>2468</v>
      </c>
    </row>
    <row r="244" spans="4:6">
      <c r="D244" s="239">
        <v>2208</v>
      </c>
      <c r="E244" s="239">
        <v>3071</v>
      </c>
      <c r="F244" s="239">
        <v>2474</v>
      </c>
    </row>
    <row r="245" spans="4:6">
      <c r="D245" s="239">
        <v>2227</v>
      </c>
      <c r="E245" s="239">
        <v>3073</v>
      </c>
      <c r="F245" s="239">
        <v>2475</v>
      </c>
    </row>
    <row r="246" spans="4:6">
      <c r="D246" s="239">
        <v>2228</v>
      </c>
      <c r="E246" s="246">
        <v>3081</v>
      </c>
      <c r="F246" s="239">
        <v>2477</v>
      </c>
    </row>
    <row r="247" spans="4:6">
      <c r="D247" s="239">
        <v>2231</v>
      </c>
      <c r="E247" s="239">
        <v>3083</v>
      </c>
      <c r="F247" s="239">
        <v>2482</v>
      </c>
    </row>
    <row r="248" spans="4:6">
      <c r="D248" s="239">
        <v>2236</v>
      </c>
      <c r="E248" s="246">
        <v>3088</v>
      </c>
      <c r="F248" s="239">
        <v>2501</v>
      </c>
    </row>
    <row r="249" spans="4:6">
      <c r="D249" s="239">
        <v>2301</v>
      </c>
      <c r="E249" s="20">
        <v>3093</v>
      </c>
      <c r="F249" s="239">
        <v>2505</v>
      </c>
    </row>
    <row r="250" spans="4:6">
      <c r="D250" s="239">
        <v>2302</v>
      </c>
      <c r="E250" s="239">
        <v>3095</v>
      </c>
      <c r="F250" s="239">
        <v>2527</v>
      </c>
    </row>
    <row r="251" spans="4:6">
      <c r="D251" s="239">
        <v>2303</v>
      </c>
      <c r="E251" s="239">
        <v>3105</v>
      </c>
      <c r="F251" s="239">
        <v>2528</v>
      </c>
    </row>
    <row r="252" spans="4:6">
      <c r="D252" s="239">
        <v>2305</v>
      </c>
      <c r="E252" s="239">
        <v>3118</v>
      </c>
      <c r="F252" s="239">
        <v>2535</v>
      </c>
    </row>
    <row r="253" spans="4:6">
      <c r="D253" s="239">
        <v>2308</v>
      </c>
      <c r="E253" s="20">
        <v>3141</v>
      </c>
      <c r="F253" s="239">
        <v>2538</v>
      </c>
    </row>
    <row r="254" spans="4:6">
      <c r="D254" s="239">
        <v>2311</v>
      </c>
      <c r="E254" s="239">
        <v>3144</v>
      </c>
      <c r="F254" s="239">
        <v>2545</v>
      </c>
    </row>
    <row r="255" spans="4:6">
      <c r="D255" s="239">
        <v>2312</v>
      </c>
      <c r="E255" s="239">
        <v>3152</v>
      </c>
      <c r="F255" s="239">
        <v>2605</v>
      </c>
    </row>
    <row r="256" spans="4:6">
      <c r="D256" s="239">
        <v>2313</v>
      </c>
      <c r="E256" s="239">
        <v>3162</v>
      </c>
      <c r="F256" s="239">
        <v>2606</v>
      </c>
    </row>
    <row r="257" spans="4:6">
      <c r="D257" s="239">
        <v>2314</v>
      </c>
      <c r="E257" s="239">
        <v>3169</v>
      </c>
      <c r="F257" s="239">
        <v>2613</v>
      </c>
    </row>
    <row r="258" spans="4:6">
      <c r="D258" s="239">
        <v>2316</v>
      </c>
      <c r="E258" s="20">
        <v>3188</v>
      </c>
      <c r="F258" s="239">
        <v>2616</v>
      </c>
    </row>
    <row r="259" spans="4:6">
      <c r="D259" s="239">
        <v>2317</v>
      </c>
      <c r="E259" s="246">
        <v>3189</v>
      </c>
      <c r="F259" s="239">
        <v>2642</v>
      </c>
    </row>
    <row r="260" spans="4:6">
      <c r="D260" s="239">
        <v>2321</v>
      </c>
      <c r="E260" s="239">
        <v>3202</v>
      </c>
      <c r="F260" s="239">
        <v>2904</v>
      </c>
    </row>
    <row r="261" spans="4:6">
      <c r="D261" s="239">
        <v>2323</v>
      </c>
      <c r="E261" s="239">
        <v>3206</v>
      </c>
      <c r="F261" s="239">
        <v>2910</v>
      </c>
    </row>
    <row r="262" spans="4:6">
      <c r="D262" s="239">
        <v>2324</v>
      </c>
      <c r="E262" s="239">
        <v>3207</v>
      </c>
      <c r="F262" s="239">
        <v>3016</v>
      </c>
    </row>
    <row r="263" spans="4:6">
      <c r="D263" s="239">
        <v>2325</v>
      </c>
      <c r="E263" s="239">
        <v>3209</v>
      </c>
      <c r="F263" s="239">
        <v>3017</v>
      </c>
    </row>
    <row r="264" spans="4:6">
      <c r="D264" s="239">
        <v>2327</v>
      </c>
      <c r="E264" s="246">
        <v>3211</v>
      </c>
      <c r="F264" s="239">
        <v>3021</v>
      </c>
    </row>
    <row r="265" spans="4:6">
      <c r="D265" s="239">
        <v>2328</v>
      </c>
      <c r="E265" s="239">
        <v>3213</v>
      </c>
      <c r="F265" s="239">
        <v>3025</v>
      </c>
    </row>
    <row r="266" spans="4:6">
      <c r="D266" s="239">
        <v>2329</v>
      </c>
      <c r="E266" s="20">
        <v>3219</v>
      </c>
      <c r="F266" s="239">
        <v>3028</v>
      </c>
    </row>
    <row r="267" spans="4:6">
      <c r="D267" s="239">
        <v>2330</v>
      </c>
      <c r="E267" s="239">
        <v>3221</v>
      </c>
      <c r="F267" s="239">
        <v>3032</v>
      </c>
    </row>
    <row r="268" spans="4:6">
      <c r="D268" s="239">
        <v>2331</v>
      </c>
      <c r="E268" s="239">
        <v>3230</v>
      </c>
      <c r="F268" s="239">
        <v>3038</v>
      </c>
    </row>
    <row r="269" spans="4:6">
      <c r="D269" s="239">
        <v>2332</v>
      </c>
      <c r="E269" s="239">
        <v>3231</v>
      </c>
      <c r="F269" s="239">
        <v>3040</v>
      </c>
    </row>
    <row r="270" spans="4:6">
      <c r="D270" s="239">
        <v>2337</v>
      </c>
      <c r="E270" s="239">
        <v>3232</v>
      </c>
      <c r="F270" s="239">
        <v>3041</v>
      </c>
    </row>
    <row r="271" spans="4:6">
      <c r="D271" s="239">
        <v>2338</v>
      </c>
      <c r="E271" s="239">
        <v>3257</v>
      </c>
      <c r="F271" s="239">
        <v>3048</v>
      </c>
    </row>
    <row r="272" spans="4:6">
      <c r="D272" s="239">
        <v>2340</v>
      </c>
      <c r="E272" s="20">
        <v>3259</v>
      </c>
      <c r="F272" s="239">
        <v>3056</v>
      </c>
    </row>
    <row r="273" spans="4:6">
      <c r="D273" s="239">
        <v>2342</v>
      </c>
      <c r="E273" s="239">
        <v>3260</v>
      </c>
      <c r="F273" s="239">
        <v>3057</v>
      </c>
    </row>
    <row r="274" spans="4:6">
      <c r="D274" s="239">
        <v>2344</v>
      </c>
      <c r="E274" s="20">
        <v>3264</v>
      </c>
      <c r="F274" s="239">
        <v>3062</v>
      </c>
    </row>
    <row r="275" spans="4:6">
      <c r="D275" s="239">
        <v>2345</v>
      </c>
      <c r="E275" s="20">
        <v>3265</v>
      </c>
      <c r="F275" s="239">
        <v>3090</v>
      </c>
    </row>
    <row r="276" spans="4:6">
      <c r="D276" s="239">
        <v>2347</v>
      </c>
      <c r="E276" s="239">
        <v>3266</v>
      </c>
      <c r="F276" s="239">
        <v>3229</v>
      </c>
    </row>
    <row r="277" spans="4:6">
      <c r="D277" s="239">
        <v>2348</v>
      </c>
      <c r="E277" s="20">
        <v>3272</v>
      </c>
      <c r="F277" s="239">
        <v>3315</v>
      </c>
    </row>
    <row r="278" spans="4:6">
      <c r="D278" s="239">
        <v>2349</v>
      </c>
      <c r="E278" s="239">
        <v>3276</v>
      </c>
      <c r="F278" s="239">
        <v>3383</v>
      </c>
    </row>
    <row r="279" spans="4:6">
      <c r="D279" s="239">
        <v>2351</v>
      </c>
      <c r="E279" s="239">
        <v>3284</v>
      </c>
      <c r="F279" s="239">
        <v>3406</v>
      </c>
    </row>
    <row r="280" spans="4:6">
      <c r="D280" s="239">
        <v>2352</v>
      </c>
      <c r="E280" s="239">
        <v>3285</v>
      </c>
      <c r="F280" s="239">
        <v>3413</v>
      </c>
    </row>
    <row r="281" spans="4:6">
      <c r="D281" s="239">
        <v>2353</v>
      </c>
      <c r="E281" s="20">
        <v>3290</v>
      </c>
      <c r="F281" s="239">
        <v>3432</v>
      </c>
    </row>
    <row r="282" spans="4:6">
      <c r="D282" s="239">
        <v>2354</v>
      </c>
      <c r="E282" s="239">
        <v>3291</v>
      </c>
      <c r="F282" s="239">
        <v>3443</v>
      </c>
    </row>
    <row r="283" spans="4:6">
      <c r="D283" s="239">
        <v>2355</v>
      </c>
      <c r="E283" s="239">
        <v>3293</v>
      </c>
      <c r="F283" s="239">
        <v>3481</v>
      </c>
    </row>
    <row r="284" spans="4:6">
      <c r="D284" s="239">
        <v>2356</v>
      </c>
      <c r="E284" s="239">
        <v>3297</v>
      </c>
      <c r="F284" s="239">
        <v>3533</v>
      </c>
    </row>
    <row r="285" spans="4:6">
      <c r="D285" s="239">
        <v>2357</v>
      </c>
      <c r="E285" s="20">
        <v>3299</v>
      </c>
      <c r="F285" s="239">
        <v>3536</v>
      </c>
    </row>
    <row r="286" spans="4:6">
      <c r="D286" s="239">
        <v>2358</v>
      </c>
      <c r="E286" s="239">
        <v>3303</v>
      </c>
      <c r="F286" s="239">
        <v>3584</v>
      </c>
    </row>
    <row r="287" spans="4:6">
      <c r="D287" s="239">
        <v>2359</v>
      </c>
      <c r="E287" s="239">
        <v>3306</v>
      </c>
      <c r="F287" s="239">
        <v>3598</v>
      </c>
    </row>
    <row r="288" spans="4:6">
      <c r="D288" s="239">
        <v>2360</v>
      </c>
      <c r="E288" s="239">
        <v>3311</v>
      </c>
      <c r="F288" s="239">
        <v>3605</v>
      </c>
    </row>
    <row r="289" spans="4:6">
      <c r="D289" s="239">
        <v>2361</v>
      </c>
      <c r="E289" s="239">
        <v>3317</v>
      </c>
      <c r="F289" s="239">
        <v>3617</v>
      </c>
    </row>
    <row r="290" spans="4:6">
      <c r="D290" s="239">
        <v>2362</v>
      </c>
      <c r="E290" s="20">
        <v>3323</v>
      </c>
      <c r="F290" s="239">
        <v>3665</v>
      </c>
    </row>
    <row r="291" spans="4:6">
      <c r="D291" s="239">
        <v>2363</v>
      </c>
      <c r="E291" s="20">
        <v>3324</v>
      </c>
      <c r="F291" s="239">
        <v>3673</v>
      </c>
    </row>
    <row r="292" spans="4:6">
      <c r="D292" s="239">
        <v>2364</v>
      </c>
      <c r="E292" s="239">
        <v>3338</v>
      </c>
      <c r="F292" s="239">
        <v>3705</v>
      </c>
    </row>
    <row r="293" spans="4:6">
      <c r="D293" s="239">
        <v>2365</v>
      </c>
      <c r="E293" s="239">
        <v>3339</v>
      </c>
      <c r="F293" s="239">
        <v>4104</v>
      </c>
    </row>
    <row r="294" spans="4:6">
      <c r="D294" s="239">
        <v>2367</v>
      </c>
      <c r="E294" s="239">
        <v>3356</v>
      </c>
      <c r="F294" s="239">
        <v>4133</v>
      </c>
    </row>
    <row r="295" spans="4:6">
      <c r="D295" s="239">
        <v>2368</v>
      </c>
      <c r="E295" s="239">
        <v>3360</v>
      </c>
      <c r="F295" s="239">
        <v>4137</v>
      </c>
    </row>
    <row r="296" spans="4:6">
      <c r="D296" s="239">
        <v>2369</v>
      </c>
      <c r="E296" s="246">
        <v>3372</v>
      </c>
      <c r="F296" s="239">
        <v>4144</v>
      </c>
    </row>
    <row r="297" spans="4:6">
      <c r="D297" s="239">
        <v>2371</v>
      </c>
      <c r="E297" s="239">
        <v>3373</v>
      </c>
      <c r="F297" s="239">
        <v>4164</v>
      </c>
    </row>
    <row r="298" spans="4:6">
      <c r="D298" s="239">
        <v>2373</v>
      </c>
      <c r="E298" s="20">
        <v>3374</v>
      </c>
      <c r="F298" s="239">
        <v>4526</v>
      </c>
    </row>
    <row r="299" spans="4:6">
      <c r="D299" s="239">
        <v>2374</v>
      </c>
      <c r="E299" s="20">
        <v>3376</v>
      </c>
      <c r="F299" s="239">
        <v>4557</v>
      </c>
    </row>
    <row r="300" spans="4:6">
      <c r="D300" s="239">
        <v>2375</v>
      </c>
      <c r="E300" s="20">
        <v>3380</v>
      </c>
      <c r="F300" s="239">
        <v>4938</v>
      </c>
    </row>
    <row r="301" spans="4:6">
      <c r="D301" s="239">
        <v>2376</v>
      </c>
      <c r="E301" s="20">
        <v>3388</v>
      </c>
      <c r="F301" s="239">
        <v>4960</v>
      </c>
    </row>
    <row r="302" spans="4:6">
      <c r="D302" s="239">
        <v>2377</v>
      </c>
      <c r="E302" s="239">
        <v>3416</v>
      </c>
      <c r="F302" s="239">
        <v>4976</v>
      </c>
    </row>
    <row r="303" spans="4:6">
      <c r="D303" s="239">
        <v>2379</v>
      </c>
      <c r="E303" s="239">
        <v>3419</v>
      </c>
      <c r="F303" s="239">
        <v>4984</v>
      </c>
    </row>
    <row r="304" spans="4:6">
      <c r="D304" s="239">
        <v>2380</v>
      </c>
      <c r="E304" s="239">
        <v>3428</v>
      </c>
      <c r="F304" s="239">
        <v>5243</v>
      </c>
    </row>
    <row r="305" spans="4:6">
      <c r="D305" s="239">
        <v>2382</v>
      </c>
      <c r="E305" s="239">
        <v>3438</v>
      </c>
      <c r="F305" s="239">
        <v>5305</v>
      </c>
    </row>
    <row r="306" spans="4:6">
      <c r="D306" s="239">
        <v>2383</v>
      </c>
      <c r="E306" s="239">
        <v>3441</v>
      </c>
      <c r="F306" s="239">
        <v>5434</v>
      </c>
    </row>
    <row r="307" spans="4:6">
      <c r="D307" s="239">
        <v>2385</v>
      </c>
      <c r="E307" s="239">
        <v>3444</v>
      </c>
      <c r="F307" s="239">
        <v>5515</v>
      </c>
    </row>
    <row r="308" spans="4:6">
      <c r="D308" s="239">
        <v>2387</v>
      </c>
      <c r="E308" s="20">
        <v>3450</v>
      </c>
      <c r="F308" s="239">
        <v>5521</v>
      </c>
    </row>
    <row r="309" spans="4:6">
      <c r="D309" s="239">
        <v>2388</v>
      </c>
      <c r="E309" s="20">
        <v>3452</v>
      </c>
      <c r="F309" s="239">
        <v>5522</v>
      </c>
    </row>
    <row r="310" spans="4:6">
      <c r="D310" s="239">
        <v>2390</v>
      </c>
      <c r="E310" s="20">
        <v>3454</v>
      </c>
      <c r="F310" s="239">
        <v>5531</v>
      </c>
    </row>
    <row r="311" spans="4:6">
      <c r="D311" s="239">
        <v>2392</v>
      </c>
      <c r="E311" s="239">
        <v>3455</v>
      </c>
      <c r="F311" s="239">
        <v>5706</v>
      </c>
    </row>
    <row r="312" spans="4:6">
      <c r="D312" s="239">
        <v>2393</v>
      </c>
      <c r="E312" s="239">
        <v>3474</v>
      </c>
      <c r="F312" s="239">
        <v>5871</v>
      </c>
    </row>
    <row r="313" spans="4:6">
      <c r="D313" s="239">
        <v>2395</v>
      </c>
      <c r="E313" s="239">
        <v>3483</v>
      </c>
      <c r="F313" s="239">
        <v>6115</v>
      </c>
    </row>
    <row r="314" spans="4:6">
      <c r="D314" s="239">
        <v>2397</v>
      </c>
      <c r="E314" s="239">
        <v>3489</v>
      </c>
      <c r="F314" s="239">
        <v>6142</v>
      </c>
    </row>
    <row r="315" spans="4:6">
      <c r="D315" s="239">
        <v>2399</v>
      </c>
      <c r="E315" s="239">
        <v>3501</v>
      </c>
      <c r="F315" s="239">
        <v>6205</v>
      </c>
    </row>
    <row r="316" spans="4:6">
      <c r="D316" s="239">
        <v>2401</v>
      </c>
      <c r="E316" s="246">
        <v>3504</v>
      </c>
      <c r="F316" s="239">
        <v>6216</v>
      </c>
    </row>
    <row r="317" spans="4:6">
      <c r="D317" s="239">
        <v>2402</v>
      </c>
      <c r="E317" s="246">
        <v>3511</v>
      </c>
      <c r="F317" s="239">
        <v>6277</v>
      </c>
    </row>
    <row r="318" spans="4:6">
      <c r="D318" s="239">
        <v>2404</v>
      </c>
      <c r="E318" s="20">
        <v>3515</v>
      </c>
      <c r="F318" s="239">
        <v>6281</v>
      </c>
    </row>
    <row r="319" spans="4:6">
      <c r="D319" s="239">
        <v>2405</v>
      </c>
      <c r="E319" s="239">
        <v>3521</v>
      </c>
      <c r="F319" s="239">
        <v>6283</v>
      </c>
    </row>
    <row r="320" spans="4:6">
      <c r="D320" s="239">
        <v>2406</v>
      </c>
      <c r="E320" s="239">
        <v>3527</v>
      </c>
      <c r="F320" s="239">
        <v>6405</v>
      </c>
    </row>
    <row r="321" spans="4:6">
      <c r="D321" s="239">
        <v>2408</v>
      </c>
      <c r="E321" s="239">
        <v>3528</v>
      </c>
      <c r="F321" s="239">
        <v>6409</v>
      </c>
    </row>
    <row r="322" spans="4:6">
      <c r="D322" s="239">
        <v>2409</v>
      </c>
      <c r="E322" s="246">
        <v>3529</v>
      </c>
      <c r="F322" s="239">
        <v>6412</v>
      </c>
    </row>
    <row r="323" spans="4:6">
      <c r="D323" s="239">
        <v>2412</v>
      </c>
      <c r="E323" s="239">
        <v>3531</v>
      </c>
      <c r="F323" s="239">
        <v>6431</v>
      </c>
    </row>
    <row r="324" spans="4:6">
      <c r="D324" s="239">
        <v>2413</v>
      </c>
      <c r="E324" s="239">
        <v>3532</v>
      </c>
      <c r="F324" s="239">
        <v>8016</v>
      </c>
    </row>
    <row r="325" spans="4:6">
      <c r="D325" s="239">
        <v>2414</v>
      </c>
      <c r="E325" s="239">
        <v>3546</v>
      </c>
      <c r="F325" s="239">
        <v>8112</v>
      </c>
    </row>
    <row r="326" spans="4:6">
      <c r="D326" s="239">
        <v>2415</v>
      </c>
      <c r="E326" s="239">
        <v>3548</v>
      </c>
      <c r="F326" s="239">
        <v>8210</v>
      </c>
    </row>
    <row r="327" spans="4:6">
      <c r="D327" s="239">
        <v>2417</v>
      </c>
      <c r="E327" s="239">
        <v>3551</v>
      </c>
      <c r="F327" s="239">
        <v>8249</v>
      </c>
    </row>
    <row r="328" spans="4:6">
      <c r="D328" s="239">
        <v>2419</v>
      </c>
      <c r="E328" s="20">
        <v>3556</v>
      </c>
      <c r="F328" s="239">
        <v>8271</v>
      </c>
    </row>
    <row r="329" spans="4:6">
      <c r="D329" s="239">
        <v>2420</v>
      </c>
      <c r="E329" s="239">
        <v>3557</v>
      </c>
      <c r="F329" s="239">
        <v>8341</v>
      </c>
    </row>
    <row r="330" spans="4:6">
      <c r="D330" s="239">
        <v>2421</v>
      </c>
      <c r="E330" s="246">
        <v>3558</v>
      </c>
      <c r="F330" s="239">
        <v>8374</v>
      </c>
    </row>
    <row r="331" spans="4:6">
      <c r="D331" s="239">
        <v>2423</v>
      </c>
      <c r="E331" s="239">
        <v>3559</v>
      </c>
      <c r="F331" s="239">
        <v>8427</v>
      </c>
    </row>
    <row r="332" spans="4:6">
      <c r="D332" s="239">
        <v>2424</v>
      </c>
      <c r="E332" s="239">
        <v>3562</v>
      </c>
      <c r="F332" s="239">
        <v>9902</v>
      </c>
    </row>
    <row r="333" spans="4:6">
      <c r="D333" s="239">
        <v>2425</v>
      </c>
      <c r="E333" s="246">
        <v>3563</v>
      </c>
      <c r="F333" s="239">
        <v>9905</v>
      </c>
    </row>
    <row r="334" spans="4:6">
      <c r="D334" s="239">
        <v>2426</v>
      </c>
      <c r="E334" s="239">
        <v>3567</v>
      </c>
      <c r="F334" s="239">
        <v>9906</v>
      </c>
    </row>
    <row r="335" spans="4:6">
      <c r="D335" s="239">
        <v>2427</v>
      </c>
      <c r="E335" s="20">
        <v>3573</v>
      </c>
      <c r="F335" s="239">
        <v>9908</v>
      </c>
    </row>
    <row r="336" spans="4:6">
      <c r="D336" s="239">
        <v>2428</v>
      </c>
      <c r="E336" s="246">
        <v>3577</v>
      </c>
      <c r="F336" s="239">
        <v>9910</v>
      </c>
    </row>
    <row r="337" spans="4:6">
      <c r="D337" s="239">
        <v>2429</v>
      </c>
      <c r="E337" s="239">
        <v>3581</v>
      </c>
      <c r="F337" s="239">
        <v>9912</v>
      </c>
    </row>
    <row r="338" spans="4:6">
      <c r="D338" s="239">
        <v>2430</v>
      </c>
      <c r="E338" s="246">
        <v>3587</v>
      </c>
      <c r="F338" s="239">
        <v>9914</v>
      </c>
    </row>
    <row r="339" spans="4:6">
      <c r="D339" s="239">
        <v>2431</v>
      </c>
      <c r="E339" s="239">
        <v>3591</v>
      </c>
      <c r="F339" s="239">
        <v>9917</v>
      </c>
    </row>
    <row r="340" spans="4:6">
      <c r="D340" s="239">
        <v>2433</v>
      </c>
      <c r="E340" s="239">
        <v>3596</v>
      </c>
      <c r="F340" s="239">
        <v>9921</v>
      </c>
    </row>
    <row r="341" spans="4:6">
      <c r="D341" s="239">
        <v>2434</v>
      </c>
      <c r="E341" s="239">
        <v>3607</v>
      </c>
      <c r="F341" s="239">
        <v>9926</v>
      </c>
    </row>
    <row r="342" spans="4:6">
      <c r="D342" s="239">
        <v>2436</v>
      </c>
      <c r="E342" s="239">
        <v>3609</v>
      </c>
      <c r="F342" s="239">
        <v>9928</v>
      </c>
    </row>
    <row r="343" spans="4:6">
      <c r="D343" s="239">
        <v>2437</v>
      </c>
      <c r="E343" s="239">
        <v>3615</v>
      </c>
      <c r="F343" s="239">
        <v>9931</v>
      </c>
    </row>
    <row r="344" spans="4:6">
      <c r="D344" s="239">
        <v>2438</v>
      </c>
      <c r="E344" s="246">
        <v>3623</v>
      </c>
      <c r="F344" s="239">
        <v>9937</v>
      </c>
    </row>
    <row r="345" spans="4:6">
      <c r="D345" s="239">
        <v>2439</v>
      </c>
      <c r="E345" s="20">
        <v>3624</v>
      </c>
      <c r="F345" s="239">
        <v>9939</v>
      </c>
    </row>
    <row r="346" spans="4:6">
      <c r="D346" s="239">
        <v>2440</v>
      </c>
      <c r="E346" s="239">
        <v>3628</v>
      </c>
      <c r="F346" s="239">
        <v>9941</v>
      </c>
    </row>
    <row r="347" spans="4:6">
      <c r="D347" s="239">
        <v>2441</v>
      </c>
      <c r="E347" s="20">
        <v>3630</v>
      </c>
      <c r="F347" s="239">
        <v>9942</v>
      </c>
    </row>
    <row r="348" spans="4:6">
      <c r="D348" s="239">
        <v>2442</v>
      </c>
      <c r="E348" s="239">
        <v>3632</v>
      </c>
    </row>
    <row r="349" spans="4:6">
      <c r="D349" s="239">
        <v>2443</v>
      </c>
      <c r="E349" s="239">
        <v>3645</v>
      </c>
    </row>
    <row r="350" spans="4:6">
      <c r="D350" s="239">
        <v>2444</v>
      </c>
      <c r="E350" s="20">
        <v>3653</v>
      </c>
    </row>
    <row r="351" spans="4:6">
      <c r="D351" s="239">
        <v>2448</v>
      </c>
      <c r="E351" s="246">
        <v>3658</v>
      </c>
    </row>
    <row r="352" spans="4:6">
      <c r="D352" s="239">
        <v>2449</v>
      </c>
      <c r="E352" s="239">
        <v>3666</v>
      </c>
    </row>
    <row r="353" spans="4:5">
      <c r="D353" s="239">
        <v>2450</v>
      </c>
      <c r="E353" s="20">
        <v>3669</v>
      </c>
    </row>
    <row r="354" spans="4:5">
      <c r="D354" s="239">
        <v>2451</v>
      </c>
      <c r="E354" s="239">
        <v>3672</v>
      </c>
    </row>
    <row r="355" spans="4:5">
      <c r="D355" s="239">
        <v>2453</v>
      </c>
      <c r="E355" s="246">
        <v>3675</v>
      </c>
    </row>
    <row r="356" spans="4:5">
      <c r="D356" s="239">
        <v>2454</v>
      </c>
      <c r="E356" s="239">
        <v>3679</v>
      </c>
    </row>
    <row r="357" spans="4:5">
      <c r="D357" s="239">
        <v>2455</v>
      </c>
      <c r="E357" s="20">
        <v>3682</v>
      </c>
    </row>
    <row r="358" spans="4:5">
      <c r="D358" s="239">
        <v>2456</v>
      </c>
      <c r="E358" s="20">
        <v>3684</v>
      </c>
    </row>
    <row r="359" spans="4:5">
      <c r="D359" s="239">
        <v>2457</v>
      </c>
      <c r="E359" s="20">
        <v>3685</v>
      </c>
    </row>
    <row r="360" spans="4:5">
      <c r="D360" s="239">
        <v>2458</v>
      </c>
      <c r="E360" s="239">
        <v>3686</v>
      </c>
    </row>
    <row r="361" spans="4:5">
      <c r="D361" s="239">
        <v>2459</v>
      </c>
      <c r="E361" s="20">
        <v>3689</v>
      </c>
    </row>
    <row r="362" spans="4:5">
      <c r="D362" s="239">
        <v>2460</v>
      </c>
      <c r="E362" s="239">
        <v>3691</v>
      </c>
    </row>
    <row r="363" spans="4:5">
      <c r="D363" s="239">
        <v>2461</v>
      </c>
      <c r="E363" s="20">
        <v>3693</v>
      </c>
    </row>
    <row r="364" spans="4:5">
      <c r="D364" s="239">
        <v>2462</v>
      </c>
      <c r="E364" s="20">
        <v>3698</v>
      </c>
    </row>
    <row r="365" spans="4:5">
      <c r="D365" s="239">
        <v>2464</v>
      </c>
      <c r="E365" s="239">
        <v>3704</v>
      </c>
    </row>
    <row r="366" spans="4:5">
      <c r="D366" s="239">
        <v>2465</v>
      </c>
      <c r="E366" s="239">
        <v>3706</v>
      </c>
    </row>
    <row r="367" spans="4:5">
      <c r="D367" s="239">
        <v>2466</v>
      </c>
      <c r="E367" s="239">
        <v>4102</v>
      </c>
    </row>
    <row r="368" spans="4:5">
      <c r="D368" s="239">
        <v>2467</v>
      </c>
      <c r="E368" s="239">
        <v>4108</v>
      </c>
    </row>
    <row r="369" spans="4:5">
      <c r="D369" s="239">
        <v>2468</v>
      </c>
      <c r="E369" s="20">
        <v>4113</v>
      </c>
    </row>
    <row r="370" spans="4:5">
      <c r="D370" s="239">
        <v>2471</v>
      </c>
      <c r="E370" s="239">
        <v>4119</v>
      </c>
    </row>
    <row r="371" spans="4:5">
      <c r="D371" s="239">
        <v>2472</v>
      </c>
      <c r="E371" s="239">
        <v>4121</v>
      </c>
    </row>
    <row r="372" spans="4:5">
      <c r="D372" s="239">
        <v>2474</v>
      </c>
      <c r="E372" s="246">
        <v>4126</v>
      </c>
    </row>
    <row r="373" spans="4:5">
      <c r="D373" s="239">
        <v>2475</v>
      </c>
      <c r="E373" s="20">
        <v>4128</v>
      </c>
    </row>
    <row r="374" spans="4:5">
      <c r="D374" s="239">
        <v>2476</v>
      </c>
      <c r="E374" s="239">
        <v>4129</v>
      </c>
    </row>
    <row r="375" spans="4:5">
      <c r="D375" s="239">
        <v>2477</v>
      </c>
      <c r="E375" s="20">
        <v>4130</v>
      </c>
    </row>
    <row r="376" spans="4:5">
      <c r="D376" s="239">
        <v>2478</v>
      </c>
      <c r="E376" s="239">
        <v>4131</v>
      </c>
    </row>
    <row r="377" spans="4:5">
      <c r="D377" s="239">
        <v>2480</v>
      </c>
      <c r="E377" s="246">
        <v>4152</v>
      </c>
    </row>
    <row r="378" spans="4:5">
      <c r="D378" s="239">
        <v>2481</v>
      </c>
      <c r="E378" s="239">
        <v>4163</v>
      </c>
    </row>
    <row r="379" spans="4:5">
      <c r="D379" s="239">
        <v>2482</v>
      </c>
      <c r="E379" s="239">
        <v>4171</v>
      </c>
    </row>
    <row r="380" spans="4:5">
      <c r="D380" s="239">
        <v>2483</v>
      </c>
      <c r="E380" s="239">
        <v>4173</v>
      </c>
    </row>
    <row r="381" spans="4:5">
      <c r="D381" s="239">
        <v>2484</v>
      </c>
      <c r="E381" s="239">
        <v>4175</v>
      </c>
    </row>
    <row r="382" spans="4:5">
      <c r="D382" s="239">
        <v>2485</v>
      </c>
      <c r="E382" s="20">
        <v>4188</v>
      </c>
    </row>
    <row r="383" spans="4:5">
      <c r="D383" s="239">
        <v>2486</v>
      </c>
      <c r="E383" s="246">
        <v>4190</v>
      </c>
    </row>
    <row r="384" spans="4:5">
      <c r="D384" s="239">
        <v>2488</v>
      </c>
      <c r="E384" s="20">
        <v>4205</v>
      </c>
    </row>
    <row r="385" spans="4:5">
      <c r="D385" s="239">
        <v>2489</v>
      </c>
      <c r="E385" s="20">
        <v>4305</v>
      </c>
    </row>
    <row r="386" spans="4:5">
      <c r="D386" s="239">
        <v>2491</v>
      </c>
      <c r="E386" s="239">
        <v>4401</v>
      </c>
    </row>
    <row r="387" spans="4:5">
      <c r="D387" s="239">
        <v>2492</v>
      </c>
      <c r="E387" s="239">
        <v>4406</v>
      </c>
    </row>
    <row r="388" spans="4:5">
      <c r="D388" s="239">
        <v>2493</v>
      </c>
      <c r="E388" s="239">
        <v>4417</v>
      </c>
    </row>
    <row r="389" spans="4:5">
      <c r="D389" s="239">
        <v>2495</v>
      </c>
      <c r="E389" s="239">
        <v>4426</v>
      </c>
    </row>
    <row r="390" spans="4:5">
      <c r="D390" s="239">
        <v>2496</v>
      </c>
      <c r="E390" s="239">
        <v>4430</v>
      </c>
    </row>
    <row r="391" spans="4:5">
      <c r="D391" s="239">
        <v>2497</v>
      </c>
      <c r="E391" s="239">
        <v>4527</v>
      </c>
    </row>
    <row r="392" spans="4:5">
      <c r="D392" s="239">
        <v>2498</v>
      </c>
      <c r="E392" s="20">
        <v>4528</v>
      </c>
    </row>
    <row r="393" spans="4:5">
      <c r="D393" s="239">
        <v>2499</v>
      </c>
      <c r="E393" s="239">
        <v>4532</v>
      </c>
    </row>
    <row r="394" spans="4:5">
      <c r="D394" s="239">
        <v>2601</v>
      </c>
      <c r="E394" s="20">
        <v>4533</v>
      </c>
    </row>
    <row r="395" spans="4:5">
      <c r="D395" s="239">
        <v>2603</v>
      </c>
      <c r="E395" s="239">
        <v>4541</v>
      </c>
    </row>
    <row r="396" spans="4:5">
      <c r="D396" s="239">
        <v>2605</v>
      </c>
      <c r="E396" s="239">
        <v>4549</v>
      </c>
    </row>
    <row r="397" spans="4:5">
      <c r="D397" s="239">
        <v>2606</v>
      </c>
      <c r="E397" s="239">
        <v>4550</v>
      </c>
    </row>
    <row r="398" spans="4:5">
      <c r="D398" s="239">
        <v>2607</v>
      </c>
      <c r="E398" s="239">
        <v>4702</v>
      </c>
    </row>
    <row r="399" spans="4:5">
      <c r="D399" s="239">
        <v>2608</v>
      </c>
      <c r="E399" s="20">
        <v>4706</v>
      </c>
    </row>
    <row r="400" spans="4:5">
      <c r="D400" s="239">
        <v>2609</v>
      </c>
      <c r="E400" s="239">
        <v>4711</v>
      </c>
    </row>
    <row r="401" spans="4:6">
      <c r="D401" s="239">
        <v>2610</v>
      </c>
      <c r="E401" s="246">
        <v>4712</v>
      </c>
      <c r="F401" s="216"/>
    </row>
    <row r="402" spans="4:6">
      <c r="D402" s="239">
        <v>2611</v>
      </c>
      <c r="E402" s="20">
        <v>4721</v>
      </c>
      <c r="F402" s="216"/>
    </row>
    <row r="403" spans="4:6">
      <c r="D403" s="239">
        <v>2612</v>
      </c>
      <c r="E403" s="20">
        <v>4722</v>
      </c>
      <c r="F403" s="216"/>
    </row>
    <row r="404" spans="4:6">
      <c r="D404" s="239">
        <v>2613</v>
      </c>
      <c r="E404" s="239">
        <v>4726</v>
      </c>
      <c r="F404" s="216"/>
    </row>
    <row r="405" spans="4:6">
      <c r="D405" s="239">
        <v>2614</v>
      </c>
      <c r="E405" s="20">
        <v>4733</v>
      </c>
      <c r="F405" s="216"/>
    </row>
    <row r="406" spans="4:6">
      <c r="D406" s="239">
        <v>2615</v>
      </c>
      <c r="E406" s="239">
        <v>4737</v>
      </c>
      <c r="F406" s="216"/>
    </row>
    <row r="407" spans="4:6">
      <c r="D407" s="239">
        <v>2616</v>
      </c>
      <c r="E407" s="20">
        <v>4743</v>
      </c>
      <c r="F407" s="216"/>
    </row>
    <row r="408" spans="4:6">
      <c r="D408" s="239">
        <v>2617</v>
      </c>
      <c r="E408" s="239">
        <v>4746</v>
      </c>
      <c r="F408" s="216"/>
    </row>
    <row r="409" spans="4:6">
      <c r="D409" s="239">
        <v>2618</v>
      </c>
      <c r="E409" s="20">
        <v>4903</v>
      </c>
      <c r="F409" s="216"/>
    </row>
    <row r="410" spans="4:6">
      <c r="D410" s="239">
        <v>2634</v>
      </c>
      <c r="E410" s="239">
        <v>4904</v>
      </c>
      <c r="F410" s="216"/>
    </row>
    <row r="411" spans="4:6">
      <c r="D411" s="239">
        <v>2637</v>
      </c>
      <c r="E411" s="20">
        <v>4906</v>
      </c>
      <c r="F411" s="216"/>
    </row>
    <row r="412" spans="4:6">
      <c r="D412" s="239">
        <v>2642</v>
      </c>
      <c r="E412" s="20">
        <v>4911</v>
      </c>
      <c r="F412" s="216"/>
    </row>
    <row r="413" spans="4:6">
      <c r="D413" s="239">
        <v>2701</v>
      </c>
      <c r="E413" s="239">
        <v>4912</v>
      </c>
      <c r="F413" s="216"/>
    </row>
    <row r="414" spans="4:6">
      <c r="D414" s="239">
        <v>2702</v>
      </c>
      <c r="E414" s="239">
        <v>4916</v>
      </c>
      <c r="F414" s="216"/>
    </row>
    <row r="415" spans="4:6">
      <c r="D415" s="239">
        <v>2704</v>
      </c>
      <c r="E415" s="246">
        <v>4919</v>
      </c>
      <c r="F415" s="216"/>
    </row>
    <row r="416" spans="4:6">
      <c r="D416" s="239">
        <v>2705</v>
      </c>
      <c r="E416" s="239">
        <v>4927</v>
      </c>
      <c r="F416" s="216"/>
    </row>
    <row r="417" spans="4:6">
      <c r="D417" s="239">
        <v>2706</v>
      </c>
      <c r="E417" s="239">
        <v>4933</v>
      </c>
      <c r="F417" s="216"/>
    </row>
    <row r="418" spans="4:6">
      <c r="D418" s="239">
        <v>2707</v>
      </c>
      <c r="E418" s="239">
        <v>4935</v>
      </c>
      <c r="F418" s="216"/>
    </row>
    <row r="419" spans="4:6">
      <c r="D419" s="239">
        <v>2712</v>
      </c>
      <c r="E419" s="20">
        <v>4939</v>
      </c>
      <c r="F419" s="216"/>
    </row>
    <row r="420" spans="4:6">
      <c r="D420" s="239">
        <v>2722</v>
      </c>
      <c r="E420" s="239">
        <v>4952</v>
      </c>
      <c r="F420" s="216"/>
    </row>
    <row r="421" spans="4:6">
      <c r="D421" s="239">
        <v>2723</v>
      </c>
      <c r="E421" s="239">
        <v>4956</v>
      </c>
      <c r="F421" s="216"/>
    </row>
    <row r="422" spans="4:6">
      <c r="D422" s="239">
        <v>2727</v>
      </c>
      <c r="E422" s="239">
        <v>4958</v>
      </c>
      <c r="F422" s="216"/>
    </row>
    <row r="423" spans="4:6">
      <c r="D423" s="239">
        <v>2731</v>
      </c>
      <c r="E423" s="246">
        <v>4966</v>
      </c>
      <c r="F423" s="216"/>
    </row>
    <row r="424" spans="4:6">
      <c r="D424" s="239">
        <v>2841</v>
      </c>
      <c r="E424" s="239">
        <v>4971</v>
      </c>
      <c r="F424" s="216"/>
    </row>
    <row r="425" spans="4:6">
      <c r="D425" s="239">
        <v>2901</v>
      </c>
      <c r="E425" s="246">
        <v>4972</v>
      </c>
      <c r="F425" s="216"/>
    </row>
    <row r="426" spans="4:6">
      <c r="D426" s="239">
        <v>2903</v>
      </c>
      <c r="E426" s="20">
        <v>4973</v>
      </c>
      <c r="F426" s="216"/>
    </row>
    <row r="427" spans="4:6">
      <c r="D427" s="239">
        <v>2904</v>
      </c>
      <c r="E427" s="20">
        <v>4974</v>
      </c>
      <c r="F427" s="216"/>
    </row>
    <row r="428" spans="4:6">
      <c r="D428" s="239">
        <v>2906</v>
      </c>
      <c r="E428" s="239">
        <v>4979</v>
      </c>
      <c r="F428" s="216"/>
    </row>
    <row r="429" spans="4:6">
      <c r="D429" s="239">
        <v>2908</v>
      </c>
      <c r="E429" s="239">
        <v>4987</v>
      </c>
      <c r="F429" s="216"/>
    </row>
    <row r="430" spans="4:6">
      <c r="D430" s="239">
        <v>2910</v>
      </c>
      <c r="E430" s="20">
        <v>4991</v>
      </c>
      <c r="F430" s="216"/>
    </row>
    <row r="431" spans="4:6">
      <c r="D431" s="239">
        <v>2911</v>
      </c>
      <c r="E431" s="20">
        <v>4994</v>
      </c>
      <c r="F431" s="216"/>
    </row>
    <row r="432" spans="4:6">
      <c r="D432" s="239">
        <v>2912</v>
      </c>
      <c r="E432" s="239">
        <v>4995</v>
      </c>
      <c r="F432" s="216"/>
    </row>
    <row r="433" spans="4:6">
      <c r="D433" s="239">
        <v>2913</v>
      </c>
      <c r="E433" s="20">
        <v>4999</v>
      </c>
      <c r="F433" s="216"/>
    </row>
    <row r="434" spans="4:6">
      <c r="D434" s="239">
        <v>2915</v>
      </c>
      <c r="E434" s="246">
        <v>5007</v>
      </c>
      <c r="F434" s="216"/>
    </row>
    <row r="435" spans="4:6">
      <c r="D435" s="239">
        <v>2923</v>
      </c>
      <c r="E435" s="239">
        <v>5009</v>
      </c>
      <c r="F435" s="216"/>
    </row>
    <row r="436" spans="4:6">
      <c r="D436" s="239">
        <v>2929</v>
      </c>
      <c r="E436" s="239">
        <v>5011</v>
      </c>
      <c r="F436" s="216"/>
    </row>
    <row r="437" spans="4:6">
      <c r="D437" s="239">
        <v>3002</v>
      </c>
      <c r="E437" s="20">
        <v>5015</v>
      </c>
      <c r="F437" s="216"/>
    </row>
    <row r="438" spans="4:6">
      <c r="D438" s="239">
        <v>3003</v>
      </c>
      <c r="E438" s="239">
        <v>5016</v>
      </c>
      <c r="F438" s="216"/>
    </row>
    <row r="439" spans="4:6">
      <c r="D439" s="239">
        <v>3004</v>
      </c>
      <c r="E439" s="246">
        <v>5203</v>
      </c>
      <c r="F439" s="216"/>
    </row>
    <row r="440" spans="4:6">
      <c r="D440" s="239">
        <v>3005</v>
      </c>
      <c r="E440" s="20">
        <v>5209</v>
      </c>
      <c r="F440" s="216"/>
    </row>
    <row r="441" spans="4:6">
      <c r="D441" s="239">
        <v>3006</v>
      </c>
      <c r="E441" s="239">
        <v>5211</v>
      </c>
      <c r="F441" s="216"/>
    </row>
    <row r="442" spans="4:6">
      <c r="D442" s="239">
        <v>3008</v>
      </c>
      <c r="E442" s="239">
        <v>5212</v>
      </c>
      <c r="F442" s="216"/>
    </row>
    <row r="443" spans="4:6">
      <c r="D443" s="239">
        <v>3010</v>
      </c>
      <c r="E443" s="20">
        <v>5215</v>
      </c>
      <c r="F443" s="216"/>
    </row>
    <row r="444" spans="4:6">
      <c r="D444" s="239">
        <v>3011</v>
      </c>
      <c r="E444" s="239">
        <v>5225</v>
      </c>
      <c r="F444" s="216"/>
    </row>
    <row r="445" spans="4:6">
      <c r="D445" s="239">
        <v>3013</v>
      </c>
      <c r="E445" s="239">
        <v>5234</v>
      </c>
      <c r="F445" s="216"/>
    </row>
    <row r="446" spans="4:6">
      <c r="D446" s="239">
        <v>3014</v>
      </c>
      <c r="E446" s="239">
        <v>5245</v>
      </c>
      <c r="F446" s="216"/>
    </row>
    <row r="447" spans="4:6">
      <c r="D447" s="239">
        <v>3015</v>
      </c>
      <c r="E447" s="239">
        <v>5255</v>
      </c>
      <c r="F447" s="216"/>
    </row>
    <row r="448" spans="4:6">
      <c r="D448" s="239">
        <v>3016</v>
      </c>
      <c r="E448" s="20">
        <v>5264</v>
      </c>
      <c r="F448" s="216"/>
    </row>
    <row r="449" spans="4:6">
      <c r="D449" s="239">
        <v>3017</v>
      </c>
      <c r="E449" s="239">
        <v>5269</v>
      </c>
      <c r="F449" s="216"/>
    </row>
    <row r="450" spans="4:6">
      <c r="D450" s="239">
        <v>3018</v>
      </c>
      <c r="E450" s="20">
        <v>5272</v>
      </c>
      <c r="F450" s="216"/>
    </row>
    <row r="451" spans="4:6">
      <c r="D451" s="239">
        <v>3019</v>
      </c>
      <c r="E451" s="246">
        <v>5274</v>
      </c>
      <c r="F451" s="216"/>
    </row>
    <row r="452" spans="4:6">
      <c r="D452" s="239">
        <v>3021</v>
      </c>
      <c r="E452" s="239">
        <v>5276</v>
      </c>
      <c r="F452" s="216"/>
    </row>
    <row r="453" spans="4:6">
      <c r="D453" s="239">
        <v>3022</v>
      </c>
      <c r="E453" s="20">
        <v>5285</v>
      </c>
      <c r="F453" s="216"/>
    </row>
    <row r="454" spans="4:6">
      <c r="D454" s="239">
        <v>3023</v>
      </c>
      <c r="E454" s="246">
        <v>5288</v>
      </c>
      <c r="F454" s="216"/>
    </row>
    <row r="455" spans="4:6">
      <c r="D455" s="239">
        <v>3024</v>
      </c>
      <c r="E455" s="239">
        <v>5289</v>
      </c>
      <c r="F455" s="216"/>
    </row>
    <row r="456" spans="4:6">
      <c r="D456" s="239">
        <v>3025</v>
      </c>
      <c r="E456" s="239">
        <v>5291</v>
      </c>
      <c r="F456" s="216"/>
    </row>
    <row r="457" spans="4:6">
      <c r="D457" s="239">
        <v>3026</v>
      </c>
      <c r="E457" s="239">
        <v>5310</v>
      </c>
      <c r="F457" s="216"/>
    </row>
    <row r="458" spans="4:6">
      <c r="D458" s="239">
        <v>3027</v>
      </c>
      <c r="E458" s="239">
        <v>5314</v>
      </c>
      <c r="F458" s="216"/>
    </row>
    <row r="459" spans="4:6">
      <c r="D459" s="239">
        <v>3028</v>
      </c>
      <c r="E459" s="20">
        <v>5315</v>
      </c>
      <c r="F459" s="216"/>
    </row>
    <row r="460" spans="4:6">
      <c r="D460" s="239">
        <v>3029</v>
      </c>
      <c r="E460" s="239">
        <v>5317</v>
      </c>
      <c r="F460" s="216"/>
    </row>
    <row r="461" spans="4:6">
      <c r="D461" s="239">
        <v>3030</v>
      </c>
      <c r="E461" s="20">
        <v>5328</v>
      </c>
      <c r="F461" s="216"/>
    </row>
    <row r="462" spans="4:6">
      <c r="D462" s="239">
        <v>3031</v>
      </c>
      <c r="E462" s="246">
        <v>5347</v>
      </c>
      <c r="F462" s="216"/>
    </row>
    <row r="463" spans="4:6">
      <c r="D463" s="239">
        <v>3032</v>
      </c>
      <c r="E463" s="239">
        <v>5349</v>
      </c>
      <c r="F463" s="216"/>
    </row>
    <row r="464" spans="4:6">
      <c r="D464" s="239">
        <v>3033</v>
      </c>
      <c r="E464" s="20">
        <v>5351</v>
      </c>
      <c r="F464" s="216"/>
    </row>
    <row r="465" spans="4:6">
      <c r="D465" s="239">
        <v>3034</v>
      </c>
      <c r="E465" s="239">
        <v>5355</v>
      </c>
      <c r="F465" s="216"/>
    </row>
    <row r="466" spans="4:6">
      <c r="D466" s="239">
        <v>3035</v>
      </c>
      <c r="E466" s="239">
        <v>5356</v>
      </c>
      <c r="F466" s="216"/>
    </row>
    <row r="467" spans="4:6">
      <c r="D467" s="239">
        <v>3036</v>
      </c>
      <c r="E467" s="246">
        <v>5371</v>
      </c>
      <c r="F467" s="216"/>
    </row>
    <row r="468" spans="4:6">
      <c r="D468" s="239">
        <v>3037</v>
      </c>
      <c r="E468" s="20">
        <v>5398</v>
      </c>
      <c r="F468" s="216"/>
    </row>
    <row r="469" spans="4:6">
      <c r="D469" s="239">
        <v>3038</v>
      </c>
      <c r="E469" s="239">
        <v>5403</v>
      </c>
      <c r="F469" s="216"/>
    </row>
    <row r="470" spans="4:6">
      <c r="D470" s="239">
        <v>3040</v>
      </c>
      <c r="E470" s="239">
        <v>5410</v>
      </c>
      <c r="F470" s="216"/>
    </row>
    <row r="471" spans="4:6">
      <c r="D471" s="239">
        <v>3041</v>
      </c>
      <c r="E471" s="239">
        <v>5425</v>
      </c>
      <c r="F471" s="216"/>
    </row>
    <row r="472" spans="4:6">
      <c r="D472" s="239">
        <v>3042</v>
      </c>
      <c r="E472" s="239">
        <v>5426</v>
      </c>
      <c r="F472" s="216"/>
    </row>
    <row r="473" spans="4:6">
      <c r="D473" s="239">
        <v>3043</v>
      </c>
      <c r="E473" s="239">
        <v>5439</v>
      </c>
      <c r="F473" s="216"/>
    </row>
    <row r="474" spans="4:6">
      <c r="D474" s="239">
        <v>3044</v>
      </c>
      <c r="E474" s="239">
        <v>5443</v>
      </c>
      <c r="F474" s="216"/>
    </row>
    <row r="475" spans="4:6">
      <c r="D475" s="239">
        <v>3045</v>
      </c>
      <c r="E475" s="239">
        <v>5457</v>
      </c>
      <c r="F475" s="216"/>
    </row>
    <row r="476" spans="4:6">
      <c r="D476" s="239">
        <v>3046</v>
      </c>
      <c r="E476" s="239">
        <v>5465</v>
      </c>
      <c r="F476" s="216"/>
    </row>
    <row r="477" spans="4:6">
      <c r="D477" s="239">
        <v>3047</v>
      </c>
      <c r="E477" s="20">
        <v>5468</v>
      </c>
      <c r="F477" s="216"/>
    </row>
    <row r="478" spans="4:6">
      <c r="D478" s="239">
        <v>3048</v>
      </c>
      <c r="E478" s="216">
        <v>5469</v>
      </c>
      <c r="F478" s="216"/>
    </row>
    <row r="479" spans="4:6">
      <c r="D479" s="239">
        <v>3049</v>
      </c>
      <c r="E479" s="20">
        <v>5471</v>
      </c>
      <c r="F479" s="216"/>
    </row>
    <row r="480" spans="4:6">
      <c r="D480" s="239">
        <v>3050</v>
      </c>
      <c r="E480" s="239">
        <v>5474</v>
      </c>
      <c r="F480" s="216"/>
    </row>
    <row r="481" spans="4:6">
      <c r="D481" s="239">
        <v>3051</v>
      </c>
      <c r="E481" s="20">
        <v>5475</v>
      </c>
      <c r="F481" s="216"/>
    </row>
    <row r="482" spans="4:6">
      <c r="D482" s="239">
        <v>3052</v>
      </c>
      <c r="E482" s="239">
        <v>5478</v>
      </c>
      <c r="F482" s="216"/>
    </row>
    <row r="483" spans="4:6">
      <c r="D483" s="239">
        <v>3054</v>
      </c>
      <c r="E483" s="239">
        <v>5480</v>
      </c>
      <c r="F483" s="216"/>
    </row>
    <row r="484" spans="4:6">
      <c r="D484" s="239">
        <v>3055</v>
      </c>
      <c r="E484" s="239">
        <v>5483</v>
      </c>
      <c r="F484" s="216"/>
    </row>
    <row r="485" spans="4:6">
      <c r="D485" s="239">
        <v>3056</v>
      </c>
      <c r="E485" s="239">
        <v>5487</v>
      </c>
      <c r="F485" s="216"/>
    </row>
    <row r="486" spans="4:6">
      <c r="D486" s="239">
        <v>3057</v>
      </c>
      <c r="E486" s="20">
        <v>5489</v>
      </c>
      <c r="F486" s="216"/>
    </row>
    <row r="487" spans="4:6">
      <c r="D487" s="239">
        <v>3058</v>
      </c>
      <c r="E487" s="20">
        <v>5490</v>
      </c>
      <c r="F487" s="216"/>
    </row>
    <row r="488" spans="4:6">
      <c r="D488" s="239">
        <v>3059</v>
      </c>
      <c r="E488" s="20">
        <v>5508</v>
      </c>
      <c r="F488" s="216"/>
    </row>
    <row r="489" spans="4:6">
      <c r="D489" s="239">
        <v>3060</v>
      </c>
      <c r="E489" s="246">
        <v>5514</v>
      </c>
      <c r="F489" s="216"/>
    </row>
    <row r="490" spans="4:6">
      <c r="D490" s="239">
        <v>3062</v>
      </c>
      <c r="E490" s="216">
        <v>5519</v>
      </c>
      <c r="F490" s="216"/>
    </row>
    <row r="491" spans="4:6">
      <c r="D491" s="239">
        <v>3090</v>
      </c>
      <c r="E491" s="20">
        <v>5523</v>
      </c>
      <c r="F491" s="216"/>
    </row>
    <row r="492" spans="4:6">
      <c r="D492" s="239">
        <v>3094</v>
      </c>
      <c r="E492" s="216">
        <v>5525</v>
      </c>
      <c r="F492" s="216"/>
    </row>
    <row r="493" spans="4:6">
      <c r="D493" s="239">
        <v>3130</v>
      </c>
      <c r="E493" s="216">
        <v>5533</v>
      </c>
      <c r="F493" s="216"/>
    </row>
    <row r="494" spans="4:6">
      <c r="D494" s="239">
        <v>3149</v>
      </c>
      <c r="E494" s="239">
        <v>5536</v>
      </c>
      <c r="F494" s="216"/>
    </row>
    <row r="495" spans="4:6">
      <c r="D495" s="239">
        <v>3164</v>
      </c>
      <c r="E495" s="239">
        <v>5601</v>
      </c>
      <c r="F495" s="216"/>
    </row>
    <row r="496" spans="4:6">
      <c r="D496" s="239">
        <v>3167</v>
      </c>
      <c r="E496" s="239">
        <v>5603</v>
      </c>
      <c r="F496" s="216"/>
    </row>
    <row r="497" spans="4:6">
      <c r="D497" s="239">
        <v>3189</v>
      </c>
      <c r="E497" s="216">
        <v>5607</v>
      </c>
      <c r="F497" s="216"/>
    </row>
    <row r="498" spans="4:6">
      <c r="D498" s="239">
        <v>3209</v>
      </c>
      <c r="E498" s="239">
        <v>5609</v>
      </c>
      <c r="F498" s="216"/>
    </row>
    <row r="499" spans="4:6">
      <c r="D499" s="239">
        <v>3229</v>
      </c>
      <c r="E499" s="239">
        <v>5701</v>
      </c>
      <c r="F499" s="216"/>
    </row>
    <row r="500" spans="4:6">
      <c r="D500" s="239">
        <v>3231</v>
      </c>
      <c r="E500" s="239">
        <v>5703</v>
      </c>
      <c r="F500" s="216"/>
    </row>
    <row r="501" spans="4:6">
      <c r="D501" s="239">
        <v>3257</v>
      </c>
      <c r="E501" s="239">
        <v>5704</v>
      </c>
      <c r="F501" s="216"/>
    </row>
    <row r="502" spans="4:6">
      <c r="D502" s="239">
        <v>3266</v>
      </c>
      <c r="E502" s="20">
        <v>5902</v>
      </c>
      <c r="F502" s="216"/>
    </row>
    <row r="503" spans="4:6">
      <c r="D503" s="239">
        <v>3296</v>
      </c>
      <c r="E503" s="239">
        <v>5903</v>
      </c>
      <c r="F503" s="216"/>
    </row>
    <row r="504" spans="4:6">
      <c r="D504" s="239">
        <v>3305</v>
      </c>
      <c r="E504" s="246">
        <v>5904</v>
      </c>
      <c r="F504" s="216"/>
    </row>
    <row r="505" spans="4:6">
      <c r="D505" s="239">
        <v>3308</v>
      </c>
      <c r="E505" s="216">
        <v>5906</v>
      </c>
      <c r="F505" s="216"/>
    </row>
    <row r="506" spans="4:6">
      <c r="D506" s="239">
        <v>3311</v>
      </c>
      <c r="E506" s="20">
        <v>6101</v>
      </c>
      <c r="F506" s="216"/>
    </row>
    <row r="507" spans="4:6">
      <c r="D507" s="239">
        <v>3312</v>
      </c>
      <c r="E507" s="239">
        <v>6103</v>
      </c>
      <c r="F507" s="216"/>
    </row>
    <row r="508" spans="4:6">
      <c r="D508" s="239">
        <v>3315</v>
      </c>
      <c r="E508" s="20">
        <v>6104</v>
      </c>
      <c r="F508" s="216"/>
    </row>
    <row r="509" spans="4:6">
      <c r="D509" s="239">
        <v>3338</v>
      </c>
      <c r="E509" s="20">
        <v>6105</v>
      </c>
      <c r="F509" s="216"/>
    </row>
    <row r="510" spans="4:6">
      <c r="D510" s="239">
        <v>3356</v>
      </c>
      <c r="E510" s="239">
        <v>6109</v>
      </c>
      <c r="F510" s="216"/>
    </row>
    <row r="511" spans="4:6">
      <c r="D511" s="239">
        <v>3376</v>
      </c>
      <c r="E511" s="239">
        <v>6111</v>
      </c>
      <c r="F511" s="216"/>
    </row>
    <row r="512" spans="4:6">
      <c r="D512" s="239">
        <v>3380</v>
      </c>
      <c r="E512" s="216">
        <v>6112</v>
      </c>
      <c r="F512" s="216"/>
    </row>
    <row r="513" spans="4:6">
      <c r="D513" s="239">
        <v>3383</v>
      </c>
      <c r="E513" s="239">
        <v>6113</v>
      </c>
      <c r="F513" s="216"/>
    </row>
    <row r="514" spans="4:6">
      <c r="D514" s="239">
        <v>3406</v>
      </c>
      <c r="E514" s="239">
        <v>6114</v>
      </c>
      <c r="F514" s="216"/>
    </row>
    <row r="515" spans="4:6">
      <c r="D515" s="239">
        <v>3413</v>
      </c>
      <c r="E515" s="216">
        <v>6116</v>
      </c>
      <c r="F515" s="216"/>
    </row>
    <row r="516" spans="4:6">
      <c r="D516" s="239">
        <v>3416</v>
      </c>
      <c r="E516" s="20">
        <v>6120</v>
      </c>
      <c r="F516" s="216"/>
    </row>
    <row r="517" spans="4:6">
      <c r="D517" s="239">
        <v>3419</v>
      </c>
      <c r="E517" s="239">
        <v>6121</v>
      </c>
      <c r="F517" s="216"/>
    </row>
    <row r="518" spans="4:6">
      <c r="D518" s="239">
        <v>3432</v>
      </c>
      <c r="E518" s="239">
        <v>6126</v>
      </c>
      <c r="F518" s="216"/>
    </row>
    <row r="519" spans="4:6">
      <c r="D519" s="239">
        <v>3437</v>
      </c>
      <c r="E519" s="246">
        <v>6127</v>
      </c>
      <c r="F519" s="216"/>
    </row>
    <row r="520" spans="4:6">
      <c r="D520" s="239">
        <v>3443</v>
      </c>
      <c r="E520" s="246">
        <v>6129</v>
      </c>
      <c r="F520" s="216"/>
    </row>
    <row r="521" spans="4:6">
      <c r="D521" s="239">
        <v>3450</v>
      </c>
      <c r="E521" s="239">
        <v>6130</v>
      </c>
      <c r="F521" s="216"/>
    </row>
    <row r="522" spans="4:6">
      <c r="D522" s="239">
        <v>3454</v>
      </c>
      <c r="E522" s="216">
        <v>6136</v>
      </c>
      <c r="F522" s="216"/>
    </row>
    <row r="523" spans="4:6">
      <c r="D523" s="239">
        <v>3474</v>
      </c>
      <c r="E523" s="216">
        <v>6139</v>
      </c>
      <c r="F523" s="216"/>
    </row>
    <row r="524" spans="4:6">
      <c r="D524" s="239">
        <v>3481</v>
      </c>
      <c r="E524" s="20">
        <v>6143</v>
      </c>
      <c r="F524" s="216"/>
    </row>
    <row r="525" spans="4:6">
      <c r="D525" s="239">
        <v>3494</v>
      </c>
      <c r="E525" s="239">
        <v>6146</v>
      </c>
      <c r="F525" s="216"/>
    </row>
    <row r="526" spans="4:6">
      <c r="D526" s="239">
        <v>3501</v>
      </c>
      <c r="E526" s="246">
        <v>6147</v>
      </c>
      <c r="F526" s="216"/>
    </row>
    <row r="527" spans="4:6">
      <c r="D527" s="239">
        <v>3504</v>
      </c>
      <c r="E527" s="239">
        <v>6154</v>
      </c>
      <c r="F527" s="216"/>
    </row>
    <row r="528" spans="4:6">
      <c r="D528" s="239">
        <v>3514</v>
      </c>
      <c r="E528" s="20">
        <v>6155</v>
      </c>
      <c r="F528" s="216"/>
    </row>
    <row r="529" spans="4:6">
      <c r="D529" s="239">
        <v>3515</v>
      </c>
      <c r="E529" s="239">
        <v>6160</v>
      </c>
      <c r="F529" s="216"/>
    </row>
    <row r="530" spans="4:6">
      <c r="D530" s="239">
        <v>3518</v>
      </c>
      <c r="E530" s="239">
        <v>6161</v>
      </c>
      <c r="F530" s="216"/>
    </row>
    <row r="531" spans="4:6">
      <c r="D531" s="239">
        <v>3519</v>
      </c>
      <c r="E531" s="20">
        <v>6166</v>
      </c>
      <c r="F531" s="216"/>
    </row>
    <row r="532" spans="4:6">
      <c r="D532" s="239">
        <v>3532</v>
      </c>
      <c r="E532" s="20">
        <v>6171</v>
      </c>
      <c r="F532" s="216"/>
    </row>
    <row r="533" spans="4:6">
      <c r="D533" s="239">
        <v>3533</v>
      </c>
      <c r="E533" s="216">
        <v>6172</v>
      </c>
      <c r="F533" s="216"/>
    </row>
    <row r="534" spans="4:6">
      <c r="D534" s="239">
        <v>3535</v>
      </c>
      <c r="E534" s="20">
        <v>6173</v>
      </c>
      <c r="F534" s="216"/>
    </row>
    <row r="535" spans="4:6">
      <c r="D535" s="239">
        <v>3536</v>
      </c>
      <c r="E535" s="239">
        <v>6174</v>
      </c>
      <c r="F535" s="216"/>
    </row>
    <row r="536" spans="4:6">
      <c r="D536" s="239">
        <v>3545</v>
      </c>
      <c r="E536" s="239">
        <v>6175</v>
      </c>
      <c r="F536" s="216"/>
    </row>
    <row r="537" spans="4:6">
      <c r="D537" s="239">
        <v>3550</v>
      </c>
      <c r="E537" s="246">
        <v>6176</v>
      </c>
      <c r="F537" s="216"/>
    </row>
    <row r="538" spans="4:6">
      <c r="D538" s="239">
        <v>3557</v>
      </c>
      <c r="E538" s="216">
        <v>6177</v>
      </c>
      <c r="F538" s="216"/>
    </row>
    <row r="539" spans="4:6">
      <c r="D539" s="239">
        <v>3559</v>
      </c>
      <c r="E539" s="20">
        <v>6179</v>
      </c>
      <c r="F539" s="216"/>
    </row>
    <row r="540" spans="4:6">
      <c r="D540" s="239">
        <v>3561</v>
      </c>
      <c r="E540" s="239">
        <v>6180</v>
      </c>
      <c r="F540" s="216"/>
    </row>
    <row r="541" spans="4:6">
      <c r="D541" s="239">
        <v>3573</v>
      </c>
      <c r="E541" s="20">
        <v>6185</v>
      </c>
      <c r="F541" s="216"/>
    </row>
    <row r="542" spans="4:6">
      <c r="D542" s="239">
        <v>3576</v>
      </c>
      <c r="E542" s="239">
        <v>6186</v>
      </c>
      <c r="F542" s="216"/>
    </row>
    <row r="543" spans="4:6">
      <c r="D543" s="239">
        <v>3579</v>
      </c>
      <c r="E543" s="20">
        <v>6187</v>
      </c>
      <c r="F543" s="216"/>
    </row>
    <row r="544" spans="4:6">
      <c r="D544" s="239">
        <v>3583</v>
      </c>
      <c r="E544" s="216">
        <v>6191</v>
      </c>
      <c r="F544" s="216"/>
    </row>
    <row r="545" spans="4:6">
      <c r="D545" s="239">
        <v>3584</v>
      </c>
      <c r="E545" s="20">
        <v>6192</v>
      </c>
      <c r="F545" s="216"/>
    </row>
    <row r="546" spans="4:6">
      <c r="D546" s="239">
        <v>3588</v>
      </c>
      <c r="E546" s="216">
        <v>6196</v>
      </c>
      <c r="F546" s="216"/>
    </row>
    <row r="547" spans="4:6">
      <c r="D547" s="239">
        <v>3591</v>
      </c>
      <c r="E547" s="20">
        <v>6197</v>
      </c>
      <c r="F547" s="216"/>
    </row>
    <row r="548" spans="4:6">
      <c r="D548" s="239">
        <v>3593</v>
      </c>
      <c r="E548" s="216">
        <v>6201</v>
      </c>
      <c r="F548" s="216"/>
    </row>
    <row r="549" spans="4:6">
      <c r="D549" s="239">
        <v>3596</v>
      </c>
      <c r="E549" s="246">
        <v>6202</v>
      </c>
      <c r="F549" s="216"/>
    </row>
    <row r="550" spans="4:6">
      <c r="D550" s="239">
        <v>3598</v>
      </c>
      <c r="E550" s="239">
        <v>6204</v>
      </c>
      <c r="F550" s="216"/>
    </row>
    <row r="551" spans="4:6">
      <c r="D551" s="239">
        <v>3605</v>
      </c>
      <c r="E551" s="20">
        <v>6207</v>
      </c>
      <c r="F551" s="216"/>
    </row>
    <row r="552" spans="4:6">
      <c r="D552" s="239">
        <v>3607</v>
      </c>
      <c r="E552" s="239">
        <v>6208</v>
      </c>
      <c r="F552" s="216"/>
    </row>
    <row r="553" spans="4:6">
      <c r="D553" s="239">
        <v>3617</v>
      </c>
      <c r="E553" s="216">
        <v>6209</v>
      </c>
      <c r="F553" s="216"/>
    </row>
    <row r="554" spans="4:6">
      <c r="D554" s="239">
        <v>3622</v>
      </c>
      <c r="E554" s="20">
        <v>6210</v>
      </c>
      <c r="F554" s="216"/>
    </row>
    <row r="555" spans="4:6">
      <c r="D555" s="239">
        <v>3645</v>
      </c>
      <c r="E555" s="246">
        <v>6213</v>
      </c>
      <c r="F555" s="216"/>
    </row>
    <row r="556" spans="4:6">
      <c r="D556" s="239">
        <v>3653</v>
      </c>
      <c r="E556" s="216">
        <v>6214</v>
      </c>
      <c r="F556" s="216"/>
    </row>
    <row r="557" spans="4:6">
      <c r="D557" s="239">
        <v>3661</v>
      </c>
      <c r="E557" s="20">
        <v>6218</v>
      </c>
      <c r="F557" s="216"/>
    </row>
    <row r="558" spans="4:6">
      <c r="D558" s="239">
        <v>3665</v>
      </c>
      <c r="E558" s="239">
        <v>6220</v>
      </c>
      <c r="F558" s="216"/>
    </row>
    <row r="559" spans="4:6">
      <c r="D559" s="239">
        <v>3669</v>
      </c>
      <c r="E559" s="239">
        <v>6223</v>
      </c>
      <c r="F559" s="216"/>
    </row>
    <row r="560" spans="4:6">
      <c r="D560" s="239">
        <v>3673</v>
      </c>
      <c r="E560" s="216">
        <v>6224</v>
      </c>
      <c r="F560" s="216"/>
    </row>
    <row r="561" spans="4:6">
      <c r="D561" s="239">
        <v>3679</v>
      </c>
      <c r="E561" s="216">
        <v>6226</v>
      </c>
      <c r="F561" s="216"/>
    </row>
    <row r="562" spans="4:6">
      <c r="D562" s="239">
        <v>3682</v>
      </c>
      <c r="E562" s="20">
        <v>6230</v>
      </c>
      <c r="F562" s="216"/>
    </row>
    <row r="563" spans="4:6">
      <c r="D563" s="239">
        <v>3686</v>
      </c>
      <c r="E563" s="20">
        <v>6231</v>
      </c>
      <c r="F563" s="216"/>
    </row>
    <row r="564" spans="4:6">
      <c r="D564" s="239">
        <v>3694</v>
      </c>
      <c r="E564" s="239">
        <v>6233</v>
      </c>
      <c r="F564" s="216"/>
    </row>
    <row r="565" spans="4:6">
      <c r="D565" s="239">
        <v>3698</v>
      </c>
      <c r="E565" s="20">
        <v>6234</v>
      </c>
      <c r="F565" s="216"/>
    </row>
    <row r="566" spans="4:6">
      <c r="D566" s="239">
        <v>3701</v>
      </c>
      <c r="E566" s="216">
        <v>6235</v>
      </c>
      <c r="F566" s="216"/>
    </row>
    <row r="567" spans="4:6">
      <c r="D567" s="239">
        <v>3702</v>
      </c>
      <c r="E567" s="239">
        <v>6237</v>
      </c>
      <c r="F567" s="216"/>
    </row>
    <row r="568" spans="4:6">
      <c r="D568" s="239">
        <v>3703</v>
      </c>
      <c r="E568" s="216">
        <v>6239</v>
      </c>
      <c r="F568" s="216"/>
    </row>
    <row r="569" spans="4:6">
      <c r="D569" s="239">
        <v>3704</v>
      </c>
      <c r="E569" s="239">
        <v>6242</v>
      </c>
      <c r="F569" s="216"/>
    </row>
    <row r="570" spans="4:6">
      <c r="D570" s="239">
        <v>3705</v>
      </c>
      <c r="E570" s="216">
        <v>6243</v>
      </c>
      <c r="F570" s="216"/>
    </row>
    <row r="571" spans="4:6">
      <c r="D571" s="239">
        <v>3706</v>
      </c>
      <c r="E571" s="20">
        <v>6244</v>
      </c>
      <c r="F571" s="216"/>
    </row>
    <row r="572" spans="4:6">
      <c r="D572" s="239">
        <v>4104</v>
      </c>
      <c r="E572" s="246">
        <v>6251</v>
      </c>
      <c r="F572" s="216"/>
    </row>
    <row r="573" spans="4:6">
      <c r="D573" s="239">
        <v>4106</v>
      </c>
      <c r="E573" s="20">
        <v>6257</v>
      </c>
      <c r="F573" s="216"/>
    </row>
    <row r="574" spans="4:6">
      <c r="D574" s="239">
        <v>4108</v>
      </c>
      <c r="E574" s="20">
        <v>6263</v>
      </c>
      <c r="F574" s="216"/>
    </row>
    <row r="575" spans="4:6">
      <c r="D575" s="239">
        <v>4119</v>
      </c>
      <c r="E575" s="216">
        <v>6269</v>
      </c>
      <c r="F575" s="216"/>
    </row>
    <row r="576" spans="4:6">
      <c r="D576" s="239">
        <v>4133</v>
      </c>
      <c r="E576" s="20">
        <v>6271</v>
      </c>
      <c r="F576" s="216"/>
    </row>
    <row r="577" spans="4:6">
      <c r="D577" s="239">
        <v>4137</v>
      </c>
      <c r="E577" s="246">
        <v>6274</v>
      </c>
      <c r="F577" s="216"/>
    </row>
    <row r="578" spans="4:6">
      <c r="D578" s="239">
        <v>4141</v>
      </c>
      <c r="E578" s="246">
        <v>6278</v>
      </c>
      <c r="F578" s="216"/>
    </row>
    <row r="579" spans="4:6">
      <c r="D579" s="239">
        <v>4142</v>
      </c>
      <c r="E579" s="239">
        <v>6279</v>
      </c>
      <c r="F579" s="216"/>
    </row>
    <row r="580" spans="4:6">
      <c r="D580" s="239">
        <v>4144</v>
      </c>
      <c r="E580" s="216">
        <v>6282</v>
      </c>
      <c r="F580" s="216"/>
    </row>
    <row r="581" spans="4:6">
      <c r="D581" s="239">
        <v>4164</v>
      </c>
      <c r="E581" s="216">
        <v>6285</v>
      </c>
      <c r="F581" s="216"/>
    </row>
    <row r="582" spans="4:6">
      <c r="D582" s="239">
        <v>4190</v>
      </c>
      <c r="E582" s="20">
        <v>6286</v>
      </c>
      <c r="F582" s="216"/>
    </row>
    <row r="583" spans="4:6">
      <c r="D583" s="239">
        <v>4306</v>
      </c>
      <c r="E583" s="20">
        <v>6290</v>
      </c>
      <c r="F583" s="216"/>
    </row>
    <row r="584" spans="4:6">
      <c r="D584" s="239">
        <v>4414</v>
      </c>
      <c r="E584" s="239">
        <v>6292</v>
      </c>
      <c r="F584" s="216"/>
    </row>
    <row r="585" spans="4:6">
      <c r="D585" s="239">
        <v>4426</v>
      </c>
      <c r="E585" s="239">
        <v>6294</v>
      </c>
      <c r="F585" s="216"/>
    </row>
    <row r="586" spans="4:6">
      <c r="D586" s="239">
        <v>4526</v>
      </c>
      <c r="E586" s="20">
        <v>6414</v>
      </c>
      <c r="F586" s="216"/>
    </row>
    <row r="587" spans="4:6">
      <c r="D587" s="239">
        <v>4532</v>
      </c>
      <c r="E587" s="20">
        <v>6417</v>
      </c>
      <c r="F587" s="216"/>
    </row>
    <row r="588" spans="4:6">
      <c r="D588" s="239">
        <v>4536</v>
      </c>
      <c r="E588" s="239">
        <v>6426</v>
      </c>
      <c r="F588" s="216"/>
    </row>
    <row r="589" spans="4:6">
      <c r="D589" s="239">
        <v>4551</v>
      </c>
      <c r="E589" s="216">
        <v>6442</v>
      </c>
      <c r="F589" s="216"/>
    </row>
    <row r="590" spans="4:6">
      <c r="D590" s="239">
        <v>4555</v>
      </c>
      <c r="E590" s="20">
        <v>6443</v>
      </c>
      <c r="F590" s="216"/>
    </row>
    <row r="591" spans="4:6">
      <c r="D591" s="239">
        <v>4557</v>
      </c>
      <c r="E591" s="20">
        <v>6451</v>
      </c>
      <c r="F591" s="216"/>
    </row>
    <row r="592" spans="4:6">
      <c r="D592" s="239">
        <v>4720</v>
      </c>
      <c r="E592" s="216">
        <v>6452</v>
      </c>
      <c r="F592" s="216"/>
    </row>
    <row r="593" spans="4:6">
      <c r="D593" s="239">
        <v>4722</v>
      </c>
      <c r="E593" s="20">
        <v>6456</v>
      </c>
      <c r="F593" s="216"/>
    </row>
    <row r="594" spans="4:6">
      <c r="D594" s="239">
        <v>4725</v>
      </c>
      <c r="E594" s="239">
        <v>6470</v>
      </c>
      <c r="F594" s="216"/>
    </row>
    <row r="595" spans="4:6">
      <c r="D595" s="239">
        <v>4733</v>
      </c>
      <c r="E595" s="239">
        <v>6488</v>
      </c>
      <c r="F595" s="216"/>
    </row>
    <row r="596" spans="4:6">
      <c r="D596" s="239">
        <v>4737</v>
      </c>
      <c r="E596" s="20">
        <v>6505</v>
      </c>
      <c r="F596" s="216"/>
    </row>
    <row r="597" spans="4:6">
      <c r="D597" s="239">
        <v>4746</v>
      </c>
      <c r="E597" s="20">
        <v>6506</v>
      </c>
      <c r="F597" s="216"/>
    </row>
    <row r="598" spans="4:6">
      <c r="D598" s="239">
        <v>4755</v>
      </c>
      <c r="E598" s="239">
        <v>6508</v>
      </c>
      <c r="F598" s="216"/>
    </row>
    <row r="599" spans="4:6">
      <c r="D599" s="239">
        <v>4904</v>
      </c>
      <c r="E599" s="239">
        <v>6603</v>
      </c>
      <c r="F599" s="216"/>
    </row>
    <row r="600" spans="4:6">
      <c r="D600" s="239">
        <v>4906</v>
      </c>
      <c r="E600" s="20">
        <v>6803</v>
      </c>
      <c r="F600" s="216"/>
    </row>
    <row r="601" spans="4:6">
      <c r="D601" s="239">
        <v>4912</v>
      </c>
      <c r="E601" s="216">
        <v>8011</v>
      </c>
      <c r="F601" s="216"/>
    </row>
    <row r="602" spans="4:6">
      <c r="D602" s="239">
        <v>4915</v>
      </c>
      <c r="E602" s="216">
        <v>8021</v>
      </c>
      <c r="F602" s="216"/>
    </row>
    <row r="603" spans="4:6">
      <c r="D603" s="239">
        <v>4916</v>
      </c>
      <c r="E603" s="239">
        <v>8024</v>
      </c>
      <c r="F603" s="216"/>
    </row>
    <row r="604" spans="4:6">
      <c r="D604" s="239">
        <v>4919</v>
      </c>
      <c r="E604" s="216">
        <v>8033</v>
      </c>
      <c r="F604" s="216"/>
    </row>
    <row r="605" spans="4:6">
      <c r="D605" s="239">
        <v>4927</v>
      </c>
      <c r="E605" s="239">
        <v>8034</v>
      </c>
      <c r="F605" s="216"/>
    </row>
    <row r="606" spans="4:6">
      <c r="D606" s="239">
        <v>4930</v>
      </c>
      <c r="E606" s="239">
        <v>8038</v>
      </c>
      <c r="F606" s="216"/>
    </row>
    <row r="607" spans="4:6">
      <c r="D607" s="239">
        <v>4934</v>
      </c>
      <c r="E607" s="246">
        <v>8039</v>
      </c>
      <c r="F607" s="216"/>
    </row>
    <row r="608" spans="4:6">
      <c r="D608" s="239">
        <v>4935</v>
      </c>
      <c r="E608" s="20">
        <v>8040</v>
      </c>
      <c r="F608" s="216"/>
    </row>
    <row r="609" spans="4:6">
      <c r="D609" s="239">
        <v>4938</v>
      </c>
      <c r="E609" s="239">
        <v>8043</v>
      </c>
      <c r="F609" s="216"/>
    </row>
    <row r="610" spans="4:6">
      <c r="D610" s="239">
        <v>4942</v>
      </c>
      <c r="E610" s="20">
        <v>8046</v>
      </c>
      <c r="F610" s="216"/>
    </row>
    <row r="611" spans="4:6">
      <c r="D611" s="239">
        <v>4952</v>
      </c>
      <c r="E611" s="239">
        <v>8049</v>
      </c>
      <c r="F611" s="216"/>
    </row>
    <row r="612" spans="4:6">
      <c r="D612" s="239">
        <v>4956</v>
      </c>
      <c r="E612" s="20">
        <v>8050</v>
      </c>
      <c r="F612" s="216"/>
    </row>
    <row r="613" spans="4:6">
      <c r="D613" s="239">
        <v>4958</v>
      </c>
      <c r="E613" s="20">
        <v>8053</v>
      </c>
      <c r="F613" s="216"/>
    </row>
    <row r="614" spans="4:6">
      <c r="D614" s="239">
        <v>4960</v>
      </c>
      <c r="E614" s="239">
        <v>8054</v>
      </c>
      <c r="F614" s="216"/>
    </row>
    <row r="615" spans="4:6">
      <c r="D615" s="239">
        <v>4976</v>
      </c>
      <c r="E615" s="20">
        <v>8059</v>
      </c>
      <c r="F615" s="216"/>
    </row>
    <row r="616" spans="4:6">
      <c r="D616" s="239">
        <v>4977</v>
      </c>
      <c r="E616" s="239">
        <v>8067</v>
      </c>
      <c r="F616" s="216"/>
    </row>
    <row r="617" spans="4:6">
      <c r="D617" s="239">
        <v>4984</v>
      </c>
      <c r="E617" s="216">
        <v>8070</v>
      </c>
      <c r="F617" s="216"/>
    </row>
    <row r="618" spans="4:6">
      <c r="D618" s="239">
        <v>4994</v>
      </c>
      <c r="E618" s="20">
        <v>8074</v>
      </c>
      <c r="F618" s="216"/>
    </row>
    <row r="619" spans="4:6">
      <c r="D619" s="239">
        <v>4999</v>
      </c>
      <c r="E619" s="239">
        <v>8076</v>
      </c>
      <c r="F619" s="216"/>
    </row>
    <row r="620" spans="4:6">
      <c r="D620" s="239">
        <v>5007</v>
      </c>
      <c r="E620" s="20">
        <v>8079</v>
      </c>
      <c r="F620" s="216"/>
    </row>
    <row r="621" spans="4:6">
      <c r="D621" s="239">
        <v>5203</v>
      </c>
      <c r="E621" s="246">
        <v>8083</v>
      </c>
      <c r="F621" s="216"/>
    </row>
    <row r="622" spans="4:6">
      <c r="D622" s="239">
        <v>5215</v>
      </c>
      <c r="E622" s="239">
        <v>8085</v>
      </c>
      <c r="F622" s="216"/>
    </row>
    <row r="623" spans="4:6">
      <c r="D623" s="239">
        <v>5225</v>
      </c>
      <c r="E623" s="246">
        <v>8086</v>
      </c>
      <c r="F623" s="216"/>
    </row>
    <row r="624" spans="4:6">
      <c r="D624" s="239">
        <v>5234</v>
      </c>
      <c r="E624" s="239">
        <v>8093</v>
      </c>
      <c r="F624" s="216"/>
    </row>
    <row r="625" spans="4:6">
      <c r="D625" s="239">
        <v>5243</v>
      </c>
      <c r="E625" s="239">
        <v>8099</v>
      </c>
      <c r="F625" s="216"/>
    </row>
    <row r="626" spans="4:6">
      <c r="D626" s="239">
        <v>5259</v>
      </c>
      <c r="E626" s="20">
        <v>8103</v>
      </c>
      <c r="F626" s="216"/>
    </row>
    <row r="627" spans="4:6">
      <c r="D627" s="239">
        <v>5264</v>
      </c>
      <c r="E627" s="246">
        <v>8105</v>
      </c>
      <c r="F627" s="216"/>
    </row>
    <row r="628" spans="4:6">
      <c r="D628" s="239">
        <v>5269</v>
      </c>
      <c r="E628" s="20">
        <v>8114</v>
      </c>
      <c r="F628" s="216"/>
    </row>
    <row r="629" spans="4:6">
      <c r="D629" s="239">
        <v>5285</v>
      </c>
      <c r="E629" s="216">
        <v>8131</v>
      </c>
      <c r="F629" s="216"/>
    </row>
    <row r="630" spans="4:6">
      <c r="D630" s="239">
        <v>5288</v>
      </c>
      <c r="E630" s="239">
        <v>8147</v>
      </c>
      <c r="F630" s="216"/>
    </row>
    <row r="631" spans="4:6">
      <c r="D631" s="239">
        <v>5305</v>
      </c>
      <c r="E631" s="239">
        <v>8182</v>
      </c>
      <c r="F631" s="216"/>
    </row>
    <row r="632" spans="4:6">
      <c r="D632" s="239">
        <v>5388</v>
      </c>
      <c r="E632" s="216">
        <v>8213</v>
      </c>
      <c r="F632" s="216"/>
    </row>
    <row r="633" spans="4:6">
      <c r="D633" s="239">
        <v>5434</v>
      </c>
      <c r="E633" s="20">
        <v>8222</v>
      </c>
      <c r="F633" s="216"/>
    </row>
    <row r="634" spans="4:6">
      <c r="D634" s="239">
        <v>5469</v>
      </c>
      <c r="E634" s="20">
        <v>8255</v>
      </c>
      <c r="F634" s="216"/>
    </row>
    <row r="635" spans="4:6">
      <c r="D635" s="239">
        <v>5471</v>
      </c>
      <c r="E635" s="20">
        <v>8261</v>
      </c>
      <c r="F635" s="216"/>
    </row>
    <row r="636" spans="4:6">
      <c r="D636" s="239">
        <v>5484</v>
      </c>
      <c r="E636" s="239">
        <v>8291</v>
      </c>
      <c r="F636" s="216"/>
    </row>
    <row r="637" spans="4:6">
      <c r="D637" s="239">
        <v>5515</v>
      </c>
      <c r="E637" s="20">
        <v>8354</v>
      </c>
      <c r="F637" s="216"/>
    </row>
    <row r="638" spans="4:6">
      <c r="D638" s="239">
        <v>5519</v>
      </c>
      <c r="E638" s="20">
        <v>8401</v>
      </c>
      <c r="F638" s="216"/>
    </row>
    <row r="639" spans="4:6">
      <c r="D639" s="239">
        <v>5521</v>
      </c>
      <c r="E639" s="20">
        <v>8404</v>
      </c>
      <c r="F639" s="216"/>
    </row>
    <row r="640" spans="4:6">
      <c r="D640" s="239">
        <v>5522</v>
      </c>
      <c r="E640" s="216">
        <v>8411</v>
      </c>
      <c r="F640" s="216"/>
    </row>
    <row r="641" spans="4:6">
      <c r="D641" s="239">
        <v>5525</v>
      </c>
      <c r="E641" s="239">
        <v>8420</v>
      </c>
      <c r="F641" s="216"/>
    </row>
    <row r="642" spans="4:6">
      <c r="D642" s="239">
        <v>5531</v>
      </c>
      <c r="E642" s="20">
        <v>8421</v>
      </c>
      <c r="F642" s="216"/>
    </row>
    <row r="643" spans="4:6">
      <c r="D643" s="239">
        <v>5533</v>
      </c>
      <c r="E643" s="20">
        <v>8422</v>
      </c>
      <c r="F643" s="216"/>
    </row>
    <row r="644" spans="4:6">
      <c r="D644" s="239">
        <v>5534</v>
      </c>
      <c r="E644" s="239">
        <v>8423</v>
      </c>
      <c r="F644" s="216"/>
    </row>
    <row r="645" spans="4:6">
      <c r="D645" s="239">
        <v>5538</v>
      </c>
      <c r="E645" s="20">
        <v>8426</v>
      </c>
      <c r="F645" s="216"/>
    </row>
    <row r="646" spans="4:6">
      <c r="D646" s="239">
        <v>5607</v>
      </c>
      <c r="E646" s="20">
        <v>8429</v>
      </c>
      <c r="F646" s="216"/>
    </row>
    <row r="647" spans="4:6">
      <c r="D647" s="239">
        <v>5608</v>
      </c>
      <c r="E647" s="239">
        <v>8432</v>
      </c>
      <c r="F647" s="216"/>
    </row>
    <row r="648" spans="4:6">
      <c r="D648" s="239">
        <v>5706</v>
      </c>
      <c r="E648" s="239">
        <v>8435</v>
      </c>
      <c r="F648" s="216"/>
    </row>
    <row r="649" spans="4:6">
      <c r="D649" s="239">
        <v>5871</v>
      </c>
      <c r="E649" s="239">
        <v>8436</v>
      </c>
      <c r="F649" s="216"/>
    </row>
    <row r="650" spans="4:6">
      <c r="D650" s="239">
        <v>5906</v>
      </c>
      <c r="E650" s="20">
        <v>8437</v>
      </c>
      <c r="F650" s="216"/>
    </row>
    <row r="651" spans="4:6">
      <c r="D651" s="239">
        <v>5907</v>
      </c>
      <c r="E651" s="239">
        <v>8446</v>
      </c>
      <c r="F651" s="216"/>
    </row>
    <row r="652" spans="4:6">
      <c r="D652" s="239">
        <v>6108</v>
      </c>
      <c r="E652" s="239">
        <v>8450</v>
      </c>
      <c r="F652" s="216"/>
    </row>
    <row r="653" spans="4:6">
      <c r="D653" s="239">
        <v>6112</v>
      </c>
      <c r="E653" s="246">
        <v>8454</v>
      </c>
      <c r="F653" s="216"/>
    </row>
    <row r="654" spans="4:6">
      <c r="D654" s="239">
        <v>6115</v>
      </c>
      <c r="E654" s="216">
        <v>8463</v>
      </c>
      <c r="F654" s="216"/>
    </row>
    <row r="655" spans="4:6">
      <c r="D655" s="239">
        <v>6116</v>
      </c>
      <c r="E655" s="239">
        <v>8906</v>
      </c>
      <c r="F655" s="216"/>
    </row>
    <row r="656" spans="4:6">
      <c r="D656" s="239">
        <v>6117</v>
      </c>
      <c r="E656" s="239">
        <v>8913</v>
      </c>
      <c r="F656" s="216"/>
    </row>
    <row r="657" spans="4:6">
      <c r="D657" s="239">
        <v>6120</v>
      </c>
      <c r="E657" s="216">
        <v>8926</v>
      </c>
      <c r="F657" s="216"/>
    </row>
    <row r="658" spans="4:6">
      <c r="D658" s="239">
        <v>6128</v>
      </c>
      <c r="E658" s="239">
        <v>8928</v>
      </c>
      <c r="F658" s="216"/>
    </row>
    <row r="659" spans="4:6">
      <c r="D659" s="239">
        <v>6131</v>
      </c>
      <c r="E659" s="239">
        <v>8930</v>
      </c>
      <c r="F659" s="216"/>
    </row>
    <row r="660" spans="4:6">
      <c r="D660" s="239">
        <v>6133</v>
      </c>
      <c r="E660" s="20">
        <v>8935</v>
      </c>
      <c r="F660" s="216"/>
    </row>
    <row r="661" spans="4:6">
      <c r="D661" s="239">
        <v>6136</v>
      </c>
      <c r="E661" s="20">
        <v>8936</v>
      </c>
      <c r="F661" s="216"/>
    </row>
    <row r="662" spans="4:6">
      <c r="D662" s="239">
        <v>6139</v>
      </c>
      <c r="E662" s="239">
        <v>8938</v>
      </c>
      <c r="F662" s="216"/>
    </row>
    <row r="663" spans="4:6">
      <c r="D663" s="239">
        <v>6141</v>
      </c>
      <c r="E663" s="246">
        <v>8942</v>
      </c>
      <c r="F663" s="216"/>
    </row>
    <row r="664" spans="4:6">
      <c r="D664" s="239">
        <v>6142</v>
      </c>
      <c r="E664" s="216">
        <v>8996</v>
      </c>
      <c r="F664" s="216"/>
    </row>
    <row r="665" spans="4:6">
      <c r="D665" s="239">
        <v>6145</v>
      </c>
      <c r="E665" s="20">
        <v>9802</v>
      </c>
      <c r="F665" s="216"/>
    </row>
    <row r="666" spans="4:6">
      <c r="D666" s="239">
        <v>6152</v>
      </c>
      <c r="E666" s="20">
        <v>9907</v>
      </c>
      <c r="F666" s="216"/>
    </row>
    <row r="667" spans="4:6">
      <c r="D667" s="239">
        <v>6153</v>
      </c>
      <c r="E667" s="20">
        <v>9911</v>
      </c>
      <c r="F667" s="216"/>
    </row>
    <row r="668" spans="4:6">
      <c r="D668" s="239">
        <v>6155</v>
      </c>
      <c r="E668" s="216">
        <v>9918</v>
      </c>
      <c r="F668" s="216"/>
    </row>
    <row r="669" spans="4:6">
      <c r="D669" s="239">
        <v>6164</v>
      </c>
      <c r="E669" s="20">
        <v>9924</v>
      </c>
      <c r="F669" s="216"/>
    </row>
    <row r="670" spans="4:6">
      <c r="D670" s="239">
        <v>6165</v>
      </c>
      <c r="E670" s="216">
        <v>9927</v>
      </c>
      <c r="F670" s="216"/>
    </row>
    <row r="671" spans="4:6">
      <c r="D671" s="239">
        <v>6166</v>
      </c>
      <c r="E671" s="216">
        <v>9930</v>
      </c>
      <c r="F671" s="216"/>
    </row>
    <row r="672" spans="4:6">
      <c r="D672" s="239">
        <v>6168</v>
      </c>
      <c r="E672" s="20">
        <v>9933</v>
      </c>
      <c r="F672" s="216"/>
    </row>
    <row r="673" spans="4:7">
      <c r="D673" s="239">
        <v>6172</v>
      </c>
      <c r="E673" s="20">
        <v>9938</v>
      </c>
      <c r="F673" s="216"/>
    </row>
    <row r="674" spans="4:7">
      <c r="D674" s="239">
        <v>6176</v>
      </c>
      <c r="E674" s="246">
        <v>9940</v>
      </c>
      <c r="F674" s="216"/>
    </row>
    <row r="675" spans="4:7">
      <c r="D675" s="239">
        <v>6177</v>
      </c>
      <c r="E675" s="216">
        <v>9943</v>
      </c>
      <c r="F675" s="216"/>
    </row>
    <row r="676" spans="4:7">
      <c r="D676" s="239">
        <v>6183</v>
      </c>
      <c r="E676" s="239">
        <v>9949</v>
      </c>
      <c r="F676" s="216"/>
    </row>
    <row r="677" spans="4:7">
      <c r="D677" s="239">
        <v>6184</v>
      </c>
      <c r="E677" s="20">
        <v>9951</v>
      </c>
      <c r="F677" s="216"/>
    </row>
    <row r="678" spans="4:7">
      <c r="D678" s="239">
        <v>6189</v>
      </c>
      <c r="E678" s="216">
        <v>9955</v>
      </c>
      <c r="F678" s="216"/>
    </row>
    <row r="679" spans="4:7">
      <c r="D679" s="239">
        <v>6191</v>
      </c>
      <c r="E679" s="239">
        <v>9962</v>
      </c>
      <c r="F679" s="216"/>
    </row>
    <row r="680" spans="4:7">
      <c r="D680" s="239">
        <v>6192</v>
      </c>
      <c r="E680" s="20"/>
      <c r="F680" s="216"/>
    </row>
    <row r="681" spans="4:7">
      <c r="D681" s="239">
        <v>6196</v>
      </c>
      <c r="E681" s="20"/>
      <c r="F681" s="216"/>
    </row>
    <row r="682" spans="4:7">
      <c r="D682" s="239">
        <v>6197</v>
      </c>
      <c r="E682" s="20"/>
      <c r="F682" s="216"/>
      <c r="G682" s="216"/>
    </row>
    <row r="683" spans="4:7">
      <c r="D683" s="239">
        <v>6201</v>
      </c>
      <c r="E683" s="20"/>
      <c r="F683" s="216"/>
      <c r="G683" s="216"/>
    </row>
    <row r="684" spans="4:7">
      <c r="D684" s="239">
        <v>6202</v>
      </c>
      <c r="E684" s="20"/>
      <c r="F684" s="216"/>
      <c r="G684" s="216"/>
    </row>
    <row r="685" spans="4:7">
      <c r="D685" s="239">
        <v>6205</v>
      </c>
      <c r="E685" s="20"/>
      <c r="F685" s="216"/>
      <c r="G685" s="216"/>
    </row>
    <row r="686" spans="4:7">
      <c r="D686" s="239">
        <v>6206</v>
      </c>
      <c r="E686" s="20"/>
      <c r="F686" s="216"/>
      <c r="G686" s="216"/>
    </row>
    <row r="687" spans="4:7">
      <c r="D687" s="239">
        <v>6209</v>
      </c>
      <c r="E687" s="20"/>
      <c r="F687" s="216"/>
      <c r="G687" s="216"/>
    </row>
    <row r="688" spans="4:7">
      <c r="D688" s="239">
        <v>6213</v>
      </c>
      <c r="E688" s="20"/>
      <c r="F688" s="216"/>
      <c r="G688" s="216"/>
    </row>
    <row r="689" spans="4:7">
      <c r="D689" s="239">
        <v>6214</v>
      </c>
      <c r="E689" s="20"/>
      <c r="F689" s="216"/>
      <c r="G689" s="216"/>
    </row>
    <row r="690" spans="4:7">
      <c r="D690" s="239">
        <v>6215</v>
      </c>
      <c r="E690" s="20"/>
      <c r="F690" s="216"/>
      <c r="G690" s="216"/>
    </row>
    <row r="691" spans="4:7">
      <c r="D691" s="239">
        <v>6216</v>
      </c>
      <c r="E691" s="20"/>
      <c r="F691" s="216"/>
      <c r="G691" s="216"/>
    </row>
    <row r="692" spans="4:7">
      <c r="D692" s="239">
        <v>6224</v>
      </c>
      <c r="E692" s="20"/>
      <c r="F692" s="216"/>
      <c r="G692" s="216"/>
    </row>
    <row r="693" spans="4:7">
      <c r="D693" s="239">
        <v>6225</v>
      </c>
      <c r="E693" s="20"/>
      <c r="F693" s="216"/>
    </row>
    <row r="694" spans="4:7">
      <c r="D694" s="239">
        <v>6226</v>
      </c>
      <c r="E694" s="20"/>
      <c r="F694" s="216"/>
    </row>
    <row r="695" spans="4:7">
      <c r="D695" s="239">
        <v>6230</v>
      </c>
      <c r="E695" s="20"/>
      <c r="F695" s="216"/>
    </row>
    <row r="696" spans="4:7">
      <c r="D696" s="239">
        <v>6235</v>
      </c>
      <c r="E696" s="20"/>
      <c r="F696" s="216"/>
    </row>
    <row r="697" spans="4:7">
      <c r="D697" s="239">
        <v>6239</v>
      </c>
      <c r="E697" s="20"/>
      <c r="F697" s="216"/>
    </row>
    <row r="698" spans="4:7">
      <c r="D698" s="239">
        <v>6243</v>
      </c>
      <c r="E698" s="20"/>
      <c r="F698" s="216"/>
    </row>
    <row r="699" spans="4:7">
      <c r="D699" s="239">
        <v>6251</v>
      </c>
      <c r="E699" s="20"/>
      <c r="F699" s="216"/>
    </row>
    <row r="700" spans="4:7">
      <c r="D700" s="239">
        <v>6257</v>
      </c>
      <c r="E700" s="20"/>
      <c r="F700" s="216"/>
    </row>
    <row r="701" spans="4:7">
      <c r="D701" s="239">
        <v>6269</v>
      </c>
      <c r="E701" s="20"/>
      <c r="F701" s="216"/>
    </row>
    <row r="702" spans="4:7">
      <c r="D702" s="239">
        <v>6271</v>
      </c>
      <c r="E702" s="20"/>
      <c r="F702" s="216"/>
    </row>
    <row r="703" spans="4:7">
      <c r="D703" s="239">
        <v>6277</v>
      </c>
      <c r="E703" s="20"/>
      <c r="F703" s="216"/>
    </row>
    <row r="704" spans="4:7">
      <c r="D704" s="239">
        <v>6278</v>
      </c>
      <c r="E704" s="20"/>
      <c r="F704" s="216"/>
    </row>
    <row r="705" spans="4:7">
      <c r="D705" s="239">
        <v>6281</v>
      </c>
      <c r="E705" s="20"/>
      <c r="F705" s="216"/>
    </row>
    <row r="706" spans="4:7">
      <c r="D706" s="239">
        <v>6282</v>
      </c>
      <c r="E706" s="20"/>
      <c r="F706" s="216"/>
    </row>
    <row r="707" spans="4:7">
      <c r="D707" s="239">
        <v>6283</v>
      </c>
      <c r="E707" s="20"/>
      <c r="F707" s="216"/>
    </row>
    <row r="708" spans="4:7">
      <c r="D708" s="239">
        <v>6285</v>
      </c>
      <c r="E708" s="20"/>
      <c r="F708" s="216"/>
    </row>
    <row r="709" spans="4:7">
      <c r="D709" s="239">
        <v>6286</v>
      </c>
      <c r="E709" s="20"/>
      <c r="F709" s="216"/>
    </row>
    <row r="710" spans="4:7">
      <c r="D710" s="239">
        <v>6289</v>
      </c>
      <c r="E710" s="20"/>
      <c r="F710" s="216"/>
    </row>
    <row r="711" spans="4:7">
      <c r="D711" s="239">
        <v>6405</v>
      </c>
      <c r="E711" s="20"/>
      <c r="F711" s="216"/>
    </row>
    <row r="712" spans="4:7">
      <c r="D712" s="239">
        <v>6409</v>
      </c>
      <c r="E712" s="20"/>
      <c r="F712" s="216"/>
    </row>
    <row r="713" spans="4:7">
      <c r="D713" s="239">
        <v>6412</v>
      </c>
      <c r="E713" s="20"/>
      <c r="F713" s="216"/>
    </row>
    <row r="714" spans="4:7">
      <c r="D714" s="239">
        <v>6414</v>
      </c>
      <c r="E714" s="20"/>
      <c r="F714" s="216"/>
    </row>
    <row r="715" spans="4:7">
      <c r="D715" s="239">
        <v>6415</v>
      </c>
      <c r="E715" s="20"/>
      <c r="F715" s="216"/>
    </row>
    <row r="716" spans="4:7">
      <c r="D716" s="239">
        <v>6422</v>
      </c>
      <c r="E716" s="20"/>
      <c r="F716" s="216"/>
    </row>
    <row r="717" spans="4:7">
      <c r="D717" s="239">
        <v>6431</v>
      </c>
      <c r="E717" s="20"/>
      <c r="F717" s="216"/>
      <c r="G717" s="216"/>
    </row>
    <row r="718" spans="4:7">
      <c r="D718" s="239">
        <v>6442</v>
      </c>
      <c r="E718" s="20"/>
      <c r="F718" s="216"/>
      <c r="G718" s="216"/>
    </row>
    <row r="719" spans="4:7">
      <c r="D719" s="239">
        <v>6443</v>
      </c>
      <c r="E719" s="20"/>
      <c r="F719" s="216"/>
      <c r="G719" s="216"/>
    </row>
    <row r="720" spans="4:7">
      <c r="D720" s="239">
        <v>6449</v>
      </c>
      <c r="E720" s="20"/>
      <c r="F720" s="216"/>
      <c r="G720" s="216"/>
    </row>
    <row r="721" spans="4:7">
      <c r="D721" s="239">
        <v>6451</v>
      </c>
      <c r="E721" s="20"/>
      <c r="F721" s="216"/>
      <c r="G721" s="216"/>
    </row>
    <row r="722" spans="4:7">
      <c r="D722" s="239">
        <v>6452</v>
      </c>
      <c r="E722" s="20"/>
      <c r="F722" s="216"/>
      <c r="G722" s="216"/>
    </row>
    <row r="723" spans="4:7">
      <c r="D723" s="239">
        <v>6456</v>
      </c>
      <c r="E723" s="20"/>
      <c r="F723" s="216"/>
      <c r="G723" s="216"/>
    </row>
    <row r="724" spans="4:7">
      <c r="D724" s="239">
        <v>6504</v>
      </c>
      <c r="E724" s="20"/>
      <c r="F724" s="216"/>
      <c r="G724" s="216"/>
    </row>
    <row r="725" spans="4:7">
      <c r="D725" s="239">
        <v>6505</v>
      </c>
      <c r="E725" s="20"/>
      <c r="F725" s="216"/>
      <c r="G725" s="216"/>
    </row>
    <row r="726" spans="4:7">
      <c r="D726" s="239">
        <v>6605</v>
      </c>
      <c r="E726" s="20"/>
      <c r="F726" s="216"/>
      <c r="G726" s="216"/>
    </row>
    <row r="727" spans="4:7">
      <c r="D727" s="239">
        <v>6702</v>
      </c>
      <c r="E727" s="20"/>
      <c r="F727" s="216"/>
      <c r="G727" s="216"/>
    </row>
    <row r="728" spans="4:7">
      <c r="D728" s="239">
        <v>8011</v>
      </c>
      <c r="E728" s="20"/>
      <c r="F728" s="216"/>
      <c r="G728" s="216"/>
    </row>
    <row r="729" spans="4:7">
      <c r="D729" s="239">
        <v>8016</v>
      </c>
      <c r="E729" s="20"/>
      <c r="F729" s="216"/>
    </row>
    <row r="730" spans="4:7">
      <c r="D730" s="239">
        <v>8021</v>
      </c>
      <c r="E730" s="20"/>
      <c r="F730" s="216"/>
    </row>
    <row r="731" spans="4:7">
      <c r="D731" s="239">
        <v>8033</v>
      </c>
      <c r="E731" s="20"/>
      <c r="F731" s="216"/>
    </row>
    <row r="732" spans="4:7">
      <c r="D732" s="239">
        <v>8039</v>
      </c>
      <c r="E732" s="20"/>
      <c r="F732" s="216"/>
    </row>
    <row r="733" spans="4:7">
      <c r="D733" s="239">
        <v>8046</v>
      </c>
      <c r="E733" s="20"/>
      <c r="F733" s="216"/>
    </row>
    <row r="734" spans="4:7">
      <c r="D734" s="239">
        <v>8070</v>
      </c>
      <c r="E734" s="20"/>
      <c r="F734" s="216"/>
    </row>
    <row r="735" spans="4:7">
      <c r="D735" s="239">
        <v>8072</v>
      </c>
      <c r="E735" s="20"/>
      <c r="F735" s="216"/>
    </row>
    <row r="736" spans="4:7">
      <c r="D736" s="239">
        <v>8081</v>
      </c>
      <c r="E736" s="20"/>
      <c r="F736" s="216"/>
    </row>
    <row r="737" spans="4:6">
      <c r="D737" s="239">
        <v>8101</v>
      </c>
      <c r="E737" s="20"/>
      <c r="F737" s="216"/>
    </row>
    <row r="738" spans="4:6">
      <c r="D738" s="239">
        <v>8103</v>
      </c>
      <c r="E738" s="20"/>
      <c r="F738" s="216"/>
    </row>
    <row r="739" spans="4:6">
      <c r="D739" s="239">
        <v>8105</v>
      </c>
      <c r="E739" s="20"/>
      <c r="F739" s="216"/>
    </row>
    <row r="740" spans="4:6">
      <c r="D740" s="239">
        <v>8110</v>
      </c>
      <c r="E740" s="20"/>
      <c r="F740" s="216"/>
    </row>
    <row r="741" spans="4:6">
      <c r="D741" s="239">
        <v>8112</v>
      </c>
      <c r="E741" s="20"/>
      <c r="F741" s="216"/>
    </row>
    <row r="742" spans="4:6">
      <c r="D742" s="239">
        <v>8114</v>
      </c>
      <c r="E742" s="20"/>
      <c r="F742" s="216"/>
    </row>
    <row r="743" spans="4:6">
      <c r="D743" s="239">
        <v>8131</v>
      </c>
      <c r="E743" s="20"/>
      <c r="F743" s="216"/>
    </row>
    <row r="744" spans="4:6">
      <c r="D744" s="239">
        <v>8150</v>
      </c>
      <c r="E744" s="20"/>
      <c r="F744" s="216"/>
    </row>
    <row r="745" spans="4:6">
      <c r="D745" s="239">
        <v>8163</v>
      </c>
      <c r="E745" s="20"/>
      <c r="F745" s="216"/>
    </row>
    <row r="746" spans="4:6">
      <c r="D746" s="239">
        <v>8201</v>
      </c>
      <c r="E746" s="20"/>
      <c r="F746" s="216"/>
    </row>
    <row r="747" spans="4:6">
      <c r="D747" s="239">
        <v>8210</v>
      </c>
      <c r="E747" s="20"/>
      <c r="F747" s="216"/>
    </row>
    <row r="748" spans="4:6">
      <c r="D748" s="239">
        <v>8213</v>
      </c>
      <c r="E748" s="20"/>
      <c r="F748" s="216"/>
    </row>
    <row r="749" spans="4:6">
      <c r="D749" s="239">
        <v>8215</v>
      </c>
      <c r="E749" s="20"/>
      <c r="F749" s="216"/>
    </row>
    <row r="750" spans="4:6">
      <c r="D750" s="239">
        <v>8222</v>
      </c>
      <c r="E750" s="20"/>
      <c r="F750" s="216"/>
    </row>
    <row r="751" spans="4:6">
      <c r="D751" s="239">
        <v>8249</v>
      </c>
      <c r="E751" s="20"/>
      <c r="F751" s="216"/>
    </row>
    <row r="752" spans="4:6">
      <c r="D752" s="239">
        <v>8261</v>
      </c>
      <c r="E752" s="20"/>
      <c r="F752" s="216"/>
    </row>
    <row r="753" spans="4:6">
      <c r="D753" s="239">
        <v>8271</v>
      </c>
      <c r="E753" s="20"/>
      <c r="F753" s="216"/>
    </row>
    <row r="754" spans="4:6">
      <c r="D754" s="239">
        <v>8341</v>
      </c>
      <c r="E754" s="20"/>
      <c r="F754" s="216"/>
    </row>
    <row r="755" spans="4:6">
      <c r="D755" s="239">
        <v>8374</v>
      </c>
      <c r="E755" s="20"/>
      <c r="F755" s="216"/>
    </row>
    <row r="756" spans="4:6">
      <c r="D756" s="239">
        <v>8404</v>
      </c>
      <c r="E756" s="20"/>
      <c r="F756" s="216"/>
    </row>
    <row r="757" spans="4:6">
      <c r="D757" s="239">
        <v>8411</v>
      </c>
      <c r="E757" s="20"/>
      <c r="F757" s="216"/>
    </row>
    <row r="758" spans="4:6">
      <c r="D758" s="239">
        <v>8422</v>
      </c>
      <c r="E758" s="20"/>
      <c r="F758" s="216"/>
    </row>
    <row r="759" spans="4:6">
      <c r="D759" s="239">
        <v>8427</v>
      </c>
      <c r="E759" s="20"/>
      <c r="F759" s="216"/>
    </row>
    <row r="760" spans="4:6">
      <c r="D760" s="239">
        <v>8429</v>
      </c>
      <c r="E760" s="20"/>
      <c r="F760" s="216"/>
    </row>
    <row r="761" spans="4:6">
      <c r="D761" s="239">
        <v>8443</v>
      </c>
      <c r="E761" s="20"/>
      <c r="F761" s="216"/>
    </row>
    <row r="762" spans="4:6">
      <c r="D762" s="239">
        <v>8454</v>
      </c>
      <c r="E762" s="20"/>
      <c r="F762" s="216"/>
    </row>
    <row r="763" spans="4:6">
      <c r="D763" s="239">
        <v>8463</v>
      </c>
      <c r="E763" s="20"/>
      <c r="F763" s="216"/>
    </row>
    <row r="764" spans="4:6">
      <c r="D764" s="239">
        <v>8926</v>
      </c>
      <c r="E764" s="20"/>
      <c r="F764" s="216"/>
    </row>
    <row r="765" spans="4:6">
      <c r="D765" s="239">
        <v>8940</v>
      </c>
      <c r="E765" s="20"/>
      <c r="F765" s="216"/>
    </row>
    <row r="766" spans="4:6">
      <c r="D766" s="239">
        <v>8996</v>
      </c>
      <c r="E766" s="20"/>
      <c r="F766" s="216"/>
    </row>
    <row r="767" spans="4:6">
      <c r="D767" s="239">
        <v>9802</v>
      </c>
      <c r="E767" s="20"/>
      <c r="F767" s="216"/>
    </row>
    <row r="768" spans="4:6">
      <c r="D768" s="239">
        <v>9902</v>
      </c>
      <c r="E768" s="20"/>
      <c r="F768" s="216"/>
    </row>
    <row r="769" spans="4:6">
      <c r="D769" s="239">
        <v>9904</v>
      </c>
      <c r="E769" s="20"/>
      <c r="F769" s="216"/>
    </row>
    <row r="770" spans="4:6">
      <c r="D770" s="239">
        <v>9905</v>
      </c>
      <c r="E770" s="20"/>
      <c r="F770" s="216"/>
    </row>
    <row r="771" spans="4:6">
      <c r="D771" s="239">
        <v>9906</v>
      </c>
      <c r="E771" s="20"/>
      <c r="F771" s="216"/>
    </row>
    <row r="772" spans="4:6">
      <c r="D772" s="239">
        <v>9907</v>
      </c>
      <c r="E772" s="20"/>
      <c r="F772" s="216"/>
    </row>
    <row r="773" spans="4:6">
      <c r="D773" s="239">
        <v>9908</v>
      </c>
      <c r="E773" s="20"/>
      <c r="F773" s="216"/>
    </row>
    <row r="774" spans="4:6">
      <c r="D774" s="239">
        <v>9910</v>
      </c>
      <c r="E774" s="20"/>
      <c r="F774" s="216"/>
    </row>
    <row r="775" spans="4:6">
      <c r="D775" s="239">
        <v>9911</v>
      </c>
      <c r="E775" s="20"/>
      <c r="F775" s="216"/>
    </row>
    <row r="776" spans="4:6">
      <c r="D776" s="239">
        <v>9912</v>
      </c>
      <c r="E776" s="20"/>
      <c r="F776" s="216"/>
    </row>
    <row r="777" spans="4:6">
      <c r="D777" s="239">
        <v>9914</v>
      </c>
      <c r="E777" s="20"/>
      <c r="F777" s="216"/>
    </row>
    <row r="778" spans="4:6">
      <c r="D778" s="239">
        <v>9917</v>
      </c>
      <c r="E778" s="20"/>
      <c r="F778" s="216"/>
    </row>
    <row r="779" spans="4:6">
      <c r="D779" s="239">
        <v>9918</v>
      </c>
      <c r="E779" s="20"/>
      <c r="F779" s="216"/>
    </row>
    <row r="780" spans="4:6">
      <c r="D780" s="239">
        <v>9919</v>
      </c>
      <c r="E780" s="20"/>
      <c r="F780" s="216"/>
    </row>
    <row r="781" spans="4:6">
      <c r="D781" s="239">
        <v>9921</v>
      </c>
      <c r="E781" s="20"/>
      <c r="F781" s="216"/>
    </row>
    <row r="782" spans="4:6">
      <c r="D782" s="239">
        <v>9924</v>
      </c>
      <c r="E782" s="20"/>
      <c r="F782" s="216"/>
    </row>
    <row r="783" spans="4:6">
      <c r="D783" s="239">
        <v>9925</v>
      </c>
      <c r="E783" s="20"/>
      <c r="F783" s="216"/>
    </row>
    <row r="784" spans="4:6">
      <c r="D784" s="239">
        <v>9926</v>
      </c>
      <c r="E784" s="20"/>
      <c r="F784" s="216"/>
    </row>
    <row r="785" spans="4:6">
      <c r="D785" s="239">
        <v>9927</v>
      </c>
      <c r="E785" s="20"/>
      <c r="F785" s="216"/>
    </row>
    <row r="786" spans="4:6">
      <c r="D786" s="239">
        <v>9928</v>
      </c>
      <c r="E786" s="20"/>
      <c r="F786" s="216"/>
    </row>
    <row r="787" spans="4:6">
      <c r="D787" s="239">
        <v>9929</v>
      </c>
      <c r="E787" s="20"/>
      <c r="F787" s="216"/>
    </row>
    <row r="788" spans="4:6">
      <c r="D788" s="239">
        <v>9930</v>
      </c>
      <c r="E788" s="20"/>
      <c r="F788" s="216"/>
    </row>
    <row r="789" spans="4:6">
      <c r="D789" s="239">
        <v>9931</v>
      </c>
      <c r="E789" s="20"/>
      <c r="F789" s="216"/>
    </row>
    <row r="790" spans="4:6">
      <c r="D790" s="239">
        <v>9933</v>
      </c>
      <c r="E790" s="20"/>
      <c r="F790" s="216"/>
    </row>
    <row r="791" spans="4:6">
      <c r="D791" s="239">
        <v>9934</v>
      </c>
      <c r="E791" s="20"/>
      <c r="F791" s="216"/>
    </row>
    <row r="792" spans="4:6">
      <c r="D792" s="239">
        <v>9935</v>
      </c>
      <c r="E792" s="20"/>
      <c r="F792" s="216"/>
    </row>
    <row r="793" spans="4:6">
      <c r="D793" s="239">
        <v>9937</v>
      </c>
      <c r="E793" s="20"/>
      <c r="F793" s="216"/>
    </row>
    <row r="794" spans="4:6">
      <c r="D794" s="239">
        <v>9938</v>
      </c>
      <c r="E794" s="20"/>
      <c r="F794" s="216"/>
    </row>
    <row r="795" spans="4:6">
      <c r="D795" s="239">
        <v>9939</v>
      </c>
      <c r="E795" s="20"/>
      <c r="F795" s="216"/>
    </row>
    <row r="796" spans="4:6">
      <c r="D796" s="239">
        <v>9940</v>
      </c>
      <c r="E796" s="20"/>
      <c r="F796" s="216"/>
    </row>
    <row r="797" spans="4:6">
      <c r="D797" s="239">
        <v>9941</v>
      </c>
      <c r="E797" s="20"/>
      <c r="F797" s="216"/>
    </row>
    <row r="798" spans="4:6">
      <c r="D798" s="239">
        <v>9942</v>
      </c>
      <c r="E798" s="20"/>
      <c r="F798" s="216"/>
    </row>
    <row r="799" spans="4:6">
      <c r="D799" s="239">
        <v>9943</v>
      </c>
      <c r="E799" s="20"/>
      <c r="F799" s="216"/>
    </row>
    <row r="800" spans="4:6">
      <c r="D800" s="239">
        <v>9944</v>
      </c>
      <c r="E800" s="20"/>
      <c r="F800" s="216"/>
    </row>
    <row r="801" spans="4:6">
      <c r="D801" s="239">
        <v>9945</v>
      </c>
      <c r="E801" s="20"/>
      <c r="F801" s="216"/>
    </row>
    <row r="802" spans="4:6">
      <c r="D802" s="239">
        <v>9946</v>
      </c>
      <c r="E802" s="20"/>
      <c r="F802" s="216"/>
    </row>
    <row r="803" spans="4:6">
      <c r="D803" s="239">
        <v>9955</v>
      </c>
      <c r="E803" s="20"/>
      <c r="F803" s="216"/>
    </row>
    <row r="804" spans="4:6">
      <c r="D804" s="239">
        <v>9958</v>
      </c>
      <c r="E804" s="20"/>
      <c r="F804" s="216"/>
    </row>
    <row r="805" spans="4:6">
      <c r="D805" s="239">
        <v>1256</v>
      </c>
      <c r="E805" s="20"/>
      <c r="F805" s="216"/>
    </row>
    <row r="806" spans="4:6">
      <c r="D806" s="239">
        <v>1258</v>
      </c>
      <c r="E806" s="20"/>
      <c r="F806" s="216"/>
    </row>
    <row r="807" spans="4:6">
      <c r="D807" s="239">
        <v>1259</v>
      </c>
      <c r="E807" s="20"/>
      <c r="F807" s="216"/>
    </row>
    <row r="808" spans="4:6">
      <c r="D808" s="239">
        <v>1264</v>
      </c>
      <c r="E808" s="20"/>
      <c r="F808" s="216"/>
    </row>
    <row r="809" spans="4:6">
      <c r="D809" s="239">
        <v>1333</v>
      </c>
      <c r="E809" s="20"/>
      <c r="F809" s="216"/>
    </row>
    <row r="810" spans="4:6">
      <c r="D810" s="239">
        <v>1336</v>
      </c>
      <c r="E810" s="20"/>
      <c r="F810" s="216"/>
    </row>
    <row r="811" spans="4:6">
      <c r="D811" s="239">
        <v>1565</v>
      </c>
      <c r="E811" s="20"/>
      <c r="F811" s="216"/>
    </row>
    <row r="812" spans="4:6">
      <c r="D812" s="239">
        <v>1566</v>
      </c>
      <c r="E812" s="20"/>
      <c r="F812" s="216"/>
    </row>
    <row r="813" spans="4:6">
      <c r="D813" s="239">
        <v>1569</v>
      </c>
      <c r="E813" s="20"/>
      <c r="F813" s="216"/>
    </row>
    <row r="814" spans="4:6">
      <c r="D814" s="239">
        <v>1570</v>
      </c>
      <c r="E814" s="20"/>
      <c r="F814" s="216"/>
    </row>
    <row r="815" spans="4:6">
      <c r="D815" s="239">
        <v>1580</v>
      </c>
      <c r="E815" s="20"/>
      <c r="F815" s="216"/>
    </row>
    <row r="816" spans="4:6">
      <c r="D816" s="239">
        <v>1584</v>
      </c>
      <c r="E816" s="20"/>
      <c r="F816" s="216"/>
    </row>
    <row r="817" spans="4:6">
      <c r="D817" s="239">
        <v>1586</v>
      </c>
      <c r="E817" s="20"/>
      <c r="F817" s="216"/>
    </row>
    <row r="818" spans="4:6">
      <c r="D818" s="239">
        <v>1591</v>
      </c>
      <c r="E818" s="20"/>
      <c r="F818" s="216"/>
    </row>
    <row r="819" spans="4:6">
      <c r="D819" s="239">
        <v>1593</v>
      </c>
      <c r="E819" s="20"/>
      <c r="F819" s="216"/>
    </row>
    <row r="820" spans="4:6">
      <c r="D820" s="239">
        <v>1595</v>
      </c>
      <c r="E820" s="20"/>
      <c r="F820" s="216"/>
    </row>
    <row r="821" spans="4:6">
      <c r="D821" s="239">
        <v>1597</v>
      </c>
      <c r="E821" s="20"/>
      <c r="F821" s="216"/>
    </row>
    <row r="822" spans="4:6">
      <c r="D822" s="239">
        <v>1599</v>
      </c>
      <c r="E822" s="20"/>
      <c r="F822" s="216"/>
    </row>
    <row r="823" spans="4:6">
      <c r="D823" s="239">
        <v>1742</v>
      </c>
      <c r="E823" s="20"/>
      <c r="F823" s="216"/>
    </row>
    <row r="824" spans="4:6">
      <c r="D824" s="239">
        <v>1752</v>
      </c>
      <c r="E824" s="20"/>
      <c r="F824" s="216"/>
    </row>
    <row r="825" spans="4:6">
      <c r="D825" s="239">
        <v>1777</v>
      </c>
      <c r="E825" s="20"/>
      <c r="F825" s="216"/>
    </row>
    <row r="826" spans="4:6">
      <c r="D826" s="239">
        <v>1781</v>
      </c>
      <c r="E826" s="20"/>
      <c r="F826" s="216"/>
    </row>
    <row r="827" spans="4:6">
      <c r="D827" s="239">
        <v>1784</v>
      </c>
      <c r="E827" s="20"/>
      <c r="F827" s="216"/>
    </row>
    <row r="828" spans="4:6">
      <c r="D828" s="239">
        <v>1785</v>
      </c>
      <c r="E828" s="20"/>
      <c r="F828" s="216"/>
    </row>
    <row r="829" spans="4:6">
      <c r="D829" s="239">
        <v>1787</v>
      </c>
      <c r="E829" s="20"/>
      <c r="F829" s="216"/>
    </row>
    <row r="830" spans="4:6">
      <c r="D830" s="239">
        <v>1788</v>
      </c>
      <c r="E830" s="20"/>
      <c r="F830" s="216"/>
    </row>
    <row r="831" spans="4:6">
      <c r="D831" s="239">
        <v>1795</v>
      </c>
      <c r="E831" s="20"/>
      <c r="F831" s="216"/>
    </row>
    <row r="832" spans="4:6">
      <c r="D832" s="239">
        <v>1799</v>
      </c>
      <c r="E832" s="20"/>
      <c r="F832" s="216"/>
    </row>
    <row r="833" spans="4:6">
      <c r="D833" s="239">
        <v>1813</v>
      </c>
      <c r="E833" s="20"/>
      <c r="F833" s="216"/>
    </row>
    <row r="834" spans="4:6">
      <c r="D834" s="239">
        <v>1815</v>
      </c>
      <c r="E834" s="20"/>
      <c r="F834" s="216"/>
    </row>
    <row r="835" spans="4:6">
      <c r="D835" s="239">
        <v>2035</v>
      </c>
      <c r="E835" s="20"/>
      <c r="F835" s="216"/>
    </row>
    <row r="836" spans="4:6">
      <c r="D836" s="239">
        <v>2061</v>
      </c>
      <c r="E836" s="20"/>
      <c r="F836" s="216"/>
    </row>
    <row r="837" spans="4:6">
      <c r="D837" s="239">
        <v>2063</v>
      </c>
      <c r="E837" s="20"/>
      <c r="F837" s="216"/>
    </row>
    <row r="838" spans="4:6">
      <c r="D838" s="239">
        <v>2064</v>
      </c>
      <c r="E838" s="20"/>
      <c r="F838" s="216"/>
    </row>
    <row r="839" spans="4:6">
      <c r="D839" s="239">
        <v>2066</v>
      </c>
      <c r="E839" s="20"/>
      <c r="F839" s="216"/>
    </row>
    <row r="840" spans="4:6">
      <c r="D840" s="239">
        <v>2067</v>
      </c>
      <c r="E840" s="20"/>
      <c r="F840" s="216"/>
    </row>
    <row r="841" spans="4:6">
      <c r="D841" s="239">
        <v>2221</v>
      </c>
      <c r="E841" s="20"/>
      <c r="F841" s="216"/>
    </row>
    <row r="842" spans="4:6">
      <c r="D842" s="239">
        <v>2230</v>
      </c>
      <c r="E842" s="20"/>
      <c r="F842" s="216"/>
    </row>
    <row r="843" spans="4:6">
      <c r="D843" s="239">
        <v>2233</v>
      </c>
      <c r="E843" s="20"/>
      <c r="F843" s="216"/>
    </row>
    <row r="844" spans="4:6">
      <c r="D844" s="239">
        <v>2235</v>
      </c>
      <c r="E844" s="20"/>
      <c r="F844" s="216"/>
    </row>
    <row r="845" spans="4:6">
      <c r="D845" s="239">
        <v>2636</v>
      </c>
      <c r="E845" s="20"/>
      <c r="F845" s="216"/>
    </row>
    <row r="846" spans="4:6">
      <c r="D846" s="239">
        <v>2640</v>
      </c>
      <c r="E846" s="20"/>
      <c r="F846" s="216"/>
    </row>
    <row r="847" spans="4:6">
      <c r="D847" s="239">
        <v>2641</v>
      </c>
      <c r="E847" s="20"/>
      <c r="F847" s="216"/>
    </row>
    <row r="848" spans="4:6">
      <c r="D848" s="239">
        <v>2718</v>
      </c>
      <c r="E848" s="20"/>
      <c r="F848" s="216"/>
    </row>
    <row r="849" spans="4:6">
      <c r="D849" s="239">
        <v>2719</v>
      </c>
      <c r="E849" s="20"/>
      <c r="F849" s="216"/>
    </row>
    <row r="850" spans="4:6">
      <c r="D850" s="239">
        <v>2724</v>
      </c>
      <c r="E850" s="20"/>
      <c r="F850" s="216"/>
    </row>
    <row r="851" spans="4:6">
      <c r="D851" s="239">
        <v>2726</v>
      </c>
      <c r="E851" s="20"/>
      <c r="F851" s="216"/>
    </row>
    <row r="852" spans="4:6">
      <c r="D852" s="239">
        <v>2729</v>
      </c>
      <c r="E852" s="20"/>
      <c r="F852" s="216"/>
    </row>
    <row r="853" spans="4:6">
      <c r="D853" s="239">
        <v>2732</v>
      </c>
      <c r="E853" s="20"/>
      <c r="F853" s="216"/>
    </row>
    <row r="854" spans="4:6">
      <c r="D854" s="239">
        <v>2734</v>
      </c>
      <c r="E854" s="20"/>
      <c r="F854" s="216"/>
    </row>
    <row r="855" spans="4:6">
      <c r="D855" s="239">
        <v>2916</v>
      </c>
      <c r="E855" s="20"/>
      <c r="F855" s="216"/>
    </row>
    <row r="856" spans="4:6">
      <c r="D856" s="239">
        <v>2924</v>
      </c>
      <c r="E856" s="20"/>
      <c r="F856" s="216"/>
    </row>
    <row r="857" spans="4:6">
      <c r="D857" s="239">
        <v>2926</v>
      </c>
      <c r="E857" s="20"/>
      <c r="F857" s="216"/>
    </row>
    <row r="858" spans="4:6">
      <c r="D858" s="239">
        <v>3064</v>
      </c>
      <c r="E858" s="20"/>
      <c r="F858" s="216"/>
    </row>
    <row r="859" spans="4:6">
      <c r="D859" s="239">
        <v>3066</v>
      </c>
      <c r="E859" s="20"/>
      <c r="F859" s="216"/>
    </row>
    <row r="860" spans="4:6">
      <c r="D860" s="239">
        <v>3067</v>
      </c>
      <c r="E860" s="20"/>
      <c r="F860" s="216"/>
    </row>
    <row r="861" spans="4:6">
      <c r="D861" s="239">
        <v>3068</v>
      </c>
      <c r="E861" s="20"/>
      <c r="F861" s="216"/>
    </row>
    <row r="862" spans="4:6">
      <c r="D862" s="239">
        <v>3071</v>
      </c>
      <c r="E862" s="20"/>
      <c r="F862" s="216"/>
    </row>
    <row r="863" spans="4:6">
      <c r="D863" s="239">
        <v>3073</v>
      </c>
      <c r="E863" s="20"/>
      <c r="F863" s="216"/>
    </row>
    <row r="864" spans="4:6">
      <c r="D864" s="239">
        <v>3078</v>
      </c>
      <c r="E864" s="20"/>
      <c r="F864" s="216"/>
    </row>
    <row r="865" spans="4:6">
      <c r="D865" s="239">
        <v>3081</v>
      </c>
      <c r="E865" s="20"/>
      <c r="F865" s="216"/>
    </row>
    <row r="866" spans="4:6">
      <c r="D866" s="239">
        <v>3083</v>
      </c>
      <c r="E866" s="20"/>
      <c r="F866" s="216"/>
    </row>
    <row r="867" spans="4:6">
      <c r="D867" s="239">
        <v>3085</v>
      </c>
      <c r="E867" s="20"/>
      <c r="F867" s="216"/>
    </row>
    <row r="868" spans="4:6">
      <c r="D868" s="239">
        <v>3086</v>
      </c>
      <c r="E868" s="20"/>
      <c r="F868" s="216"/>
    </row>
    <row r="869" spans="4:6">
      <c r="D869" s="239">
        <v>3088</v>
      </c>
      <c r="E869" s="20"/>
      <c r="F869" s="216"/>
    </row>
    <row r="870" spans="4:6">
      <c r="D870" s="239">
        <v>3089</v>
      </c>
      <c r="E870" s="20"/>
      <c r="F870" s="216"/>
    </row>
    <row r="871" spans="4:6">
      <c r="D871" s="239">
        <v>3092</v>
      </c>
      <c r="E871" s="20"/>
      <c r="F871" s="216"/>
    </row>
    <row r="872" spans="4:6">
      <c r="D872" s="239">
        <v>3093</v>
      </c>
      <c r="E872" s="20"/>
      <c r="F872" s="216"/>
    </row>
    <row r="873" spans="4:6">
      <c r="D873" s="239">
        <v>3095</v>
      </c>
      <c r="E873" s="20"/>
      <c r="F873" s="216"/>
    </row>
    <row r="874" spans="4:6">
      <c r="D874" s="239">
        <v>3105</v>
      </c>
      <c r="E874" s="20"/>
      <c r="F874" s="216"/>
    </row>
    <row r="875" spans="4:6">
      <c r="D875" s="239">
        <v>3114</v>
      </c>
      <c r="E875" s="20"/>
      <c r="F875" s="216"/>
    </row>
    <row r="876" spans="4:6">
      <c r="D876" s="239">
        <v>3115</v>
      </c>
      <c r="E876" s="20"/>
      <c r="F876" s="216"/>
    </row>
    <row r="877" spans="4:6">
      <c r="D877" s="239">
        <v>3118</v>
      </c>
      <c r="E877" s="20"/>
      <c r="F877" s="216"/>
    </row>
    <row r="878" spans="4:6">
      <c r="D878" s="239">
        <v>3122</v>
      </c>
      <c r="E878" s="20"/>
      <c r="F878" s="216"/>
    </row>
    <row r="879" spans="4:6">
      <c r="D879" s="239">
        <v>3126</v>
      </c>
      <c r="E879" s="20"/>
      <c r="F879" s="216"/>
    </row>
    <row r="880" spans="4:6">
      <c r="D880" s="239">
        <v>3128</v>
      </c>
      <c r="E880" s="20"/>
      <c r="F880" s="216"/>
    </row>
    <row r="881" spans="4:6">
      <c r="D881" s="239">
        <v>3131</v>
      </c>
      <c r="E881" s="20"/>
      <c r="F881" s="216"/>
    </row>
    <row r="882" spans="4:6">
      <c r="D882" s="239">
        <v>3141</v>
      </c>
      <c r="E882" s="20"/>
      <c r="F882" s="216"/>
    </row>
    <row r="883" spans="4:6">
      <c r="D883" s="239">
        <v>3144</v>
      </c>
      <c r="E883" s="20"/>
      <c r="F883" s="216"/>
    </row>
    <row r="884" spans="4:6">
      <c r="D884" s="239">
        <v>3152</v>
      </c>
      <c r="E884" s="20"/>
      <c r="F884" s="216"/>
    </row>
    <row r="885" spans="4:6">
      <c r="D885" s="239">
        <v>3162</v>
      </c>
      <c r="E885" s="20"/>
      <c r="F885" s="216"/>
    </row>
    <row r="886" spans="4:6">
      <c r="D886" s="239">
        <v>3163</v>
      </c>
      <c r="E886" s="20"/>
      <c r="F886" s="216"/>
    </row>
    <row r="887" spans="4:6">
      <c r="D887" s="239">
        <v>3169</v>
      </c>
      <c r="E887" s="20"/>
      <c r="F887" s="216"/>
    </row>
    <row r="888" spans="4:6">
      <c r="D888" s="239">
        <v>3171</v>
      </c>
      <c r="E888" s="20"/>
      <c r="F888" s="216"/>
    </row>
    <row r="889" spans="4:6">
      <c r="D889" s="239">
        <v>3176</v>
      </c>
      <c r="E889" s="20"/>
      <c r="F889" s="216"/>
    </row>
    <row r="890" spans="4:6">
      <c r="D890" s="239">
        <v>3188</v>
      </c>
      <c r="E890" s="20"/>
      <c r="F890" s="216"/>
    </row>
    <row r="891" spans="4:6">
      <c r="D891" s="239">
        <v>3191</v>
      </c>
      <c r="E891" s="20"/>
      <c r="F891" s="216"/>
    </row>
    <row r="892" spans="4:6">
      <c r="D892" s="239">
        <v>3202</v>
      </c>
      <c r="E892" s="20"/>
      <c r="F892" s="216"/>
    </row>
    <row r="893" spans="4:6">
      <c r="D893" s="239">
        <v>3205</v>
      </c>
      <c r="E893" s="20"/>
      <c r="F893" s="216"/>
    </row>
    <row r="894" spans="4:6">
      <c r="D894" s="239">
        <v>3206</v>
      </c>
      <c r="E894" s="20"/>
      <c r="F894" s="216"/>
    </row>
    <row r="895" spans="4:6">
      <c r="D895" s="239">
        <v>3207</v>
      </c>
      <c r="E895" s="20"/>
      <c r="F895" s="216"/>
    </row>
    <row r="896" spans="4:6">
      <c r="D896" s="239">
        <v>3211</v>
      </c>
      <c r="E896" s="20"/>
      <c r="F896" s="216"/>
    </row>
    <row r="897" spans="4:6">
      <c r="D897" s="239">
        <v>3213</v>
      </c>
      <c r="E897" s="20"/>
      <c r="F897" s="216"/>
    </row>
    <row r="898" spans="4:6">
      <c r="D898" s="239">
        <v>3217</v>
      </c>
      <c r="E898" s="20"/>
      <c r="F898" s="216"/>
    </row>
    <row r="899" spans="4:6">
      <c r="D899" s="239">
        <v>3218</v>
      </c>
      <c r="E899" s="20"/>
      <c r="F899" s="216"/>
    </row>
    <row r="900" spans="4:6">
      <c r="D900" s="239">
        <v>3219</v>
      </c>
      <c r="E900" s="20"/>
      <c r="F900" s="216"/>
    </row>
    <row r="901" spans="4:6">
      <c r="D901" s="239">
        <v>3221</v>
      </c>
      <c r="E901" s="20"/>
      <c r="F901" s="216"/>
    </row>
    <row r="902" spans="4:6">
      <c r="D902" s="239">
        <v>3224</v>
      </c>
      <c r="E902" s="20"/>
      <c r="F902" s="216"/>
    </row>
    <row r="903" spans="4:6">
      <c r="D903" s="239">
        <v>3226</v>
      </c>
      <c r="E903" s="20"/>
      <c r="F903" s="216"/>
    </row>
    <row r="904" spans="4:6">
      <c r="D904" s="239">
        <v>3227</v>
      </c>
      <c r="E904" s="20"/>
      <c r="F904" s="216"/>
    </row>
    <row r="905" spans="4:6">
      <c r="D905" s="239">
        <v>3228</v>
      </c>
      <c r="E905" s="20"/>
      <c r="F905" s="216"/>
    </row>
    <row r="906" spans="4:6">
      <c r="D906" s="239">
        <v>3230</v>
      </c>
      <c r="E906" s="20"/>
      <c r="F906" s="216"/>
    </row>
    <row r="907" spans="4:6">
      <c r="D907" s="239">
        <v>3232</v>
      </c>
      <c r="E907" s="20"/>
      <c r="F907" s="216"/>
    </row>
    <row r="908" spans="4:6">
      <c r="D908" s="239">
        <v>3234</v>
      </c>
      <c r="E908" s="20"/>
      <c r="F908" s="216"/>
    </row>
    <row r="909" spans="4:6">
      <c r="D909" s="239">
        <v>3236</v>
      </c>
      <c r="E909" s="20"/>
      <c r="F909" s="216"/>
    </row>
    <row r="910" spans="4:6">
      <c r="D910" s="239">
        <v>3252</v>
      </c>
      <c r="E910" s="20"/>
      <c r="F910" s="216"/>
    </row>
    <row r="911" spans="4:6">
      <c r="D911" s="239">
        <v>3259</v>
      </c>
      <c r="E911" s="20"/>
      <c r="F911" s="216"/>
    </row>
    <row r="912" spans="4:6">
      <c r="D912" s="239">
        <v>3260</v>
      </c>
      <c r="E912" s="20"/>
      <c r="F912" s="216"/>
    </row>
    <row r="913" spans="4:6">
      <c r="D913" s="239">
        <v>3264</v>
      </c>
      <c r="E913" s="20"/>
      <c r="F913" s="216"/>
    </row>
    <row r="914" spans="4:6">
      <c r="D914" s="239">
        <v>3265</v>
      </c>
      <c r="E914" s="20"/>
      <c r="F914" s="216"/>
    </row>
    <row r="915" spans="4:6">
      <c r="D915" s="239">
        <v>3268</v>
      </c>
      <c r="E915" s="20"/>
      <c r="F915" s="216"/>
    </row>
    <row r="916" spans="4:6">
      <c r="D916" s="239">
        <v>3272</v>
      </c>
      <c r="E916" s="20"/>
      <c r="F916" s="216"/>
    </row>
    <row r="917" spans="4:6">
      <c r="D917" s="239">
        <v>3276</v>
      </c>
      <c r="E917" s="20"/>
      <c r="F917" s="216"/>
    </row>
    <row r="918" spans="4:6">
      <c r="D918" s="239">
        <v>3284</v>
      </c>
      <c r="E918" s="20"/>
      <c r="F918" s="216"/>
    </row>
    <row r="919" spans="4:6">
      <c r="D919" s="239">
        <v>3285</v>
      </c>
      <c r="E919" s="20"/>
      <c r="F919" s="216"/>
    </row>
    <row r="920" spans="4:6">
      <c r="D920" s="239">
        <v>3287</v>
      </c>
      <c r="E920" s="20"/>
      <c r="F920" s="216"/>
    </row>
    <row r="921" spans="4:6">
      <c r="D921" s="239">
        <v>3288</v>
      </c>
      <c r="E921" s="20"/>
      <c r="F921" s="216"/>
    </row>
    <row r="922" spans="4:6">
      <c r="D922" s="239">
        <v>3289</v>
      </c>
      <c r="E922" s="20"/>
      <c r="F922" s="216"/>
    </row>
    <row r="923" spans="4:6">
      <c r="D923" s="239">
        <v>3290</v>
      </c>
      <c r="E923" s="20"/>
      <c r="F923" s="216"/>
    </row>
    <row r="924" spans="4:6">
      <c r="D924" s="239">
        <v>3291</v>
      </c>
      <c r="E924" s="20"/>
      <c r="F924" s="216"/>
    </row>
    <row r="925" spans="4:6">
      <c r="D925" s="239">
        <v>3293</v>
      </c>
      <c r="E925" s="20"/>
      <c r="F925" s="216"/>
    </row>
    <row r="926" spans="4:6">
      <c r="D926" s="239">
        <v>3294</v>
      </c>
      <c r="E926" s="20"/>
      <c r="F926" s="216"/>
    </row>
    <row r="927" spans="4:6">
      <c r="D927" s="239">
        <v>3297</v>
      </c>
      <c r="E927" s="20"/>
      <c r="F927" s="216"/>
    </row>
    <row r="928" spans="4:6">
      <c r="D928" s="239">
        <v>3299</v>
      </c>
      <c r="E928" s="20"/>
      <c r="F928" s="216"/>
    </row>
    <row r="929" spans="4:6">
      <c r="D929" s="239">
        <v>3303</v>
      </c>
      <c r="E929" s="20"/>
      <c r="F929" s="216"/>
    </row>
    <row r="930" spans="4:6">
      <c r="D930" s="239">
        <v>3306</v>
      </c>
      <c r="E930" s="20"/>
      <c r="F930" s="216"/>
    </row>
    <row r="931" spans="4:6">
      <c r="D931" s="239">
        <v>3310</v>
      </c>
      <c r="E931" s="20"/>
      <c r="F931" s="216"/>
    </row>
    <row r="932" spans="4:6">
      <c r="D932" s="239">
        <v>3313</v>
      </c>
      <c r="E932" s="20"/>
      <c r="F932" s="216"/>
    </row>
    <row r="933" spans="4:6">
      <c r="D933" s="239">
        <v>3317</v>
      </c>
      <c r="E933" s="20"/>
      <c r="F933" s="216"/>
    </row>
    <row r="934" spans="4:6">
      <c r="D934" s="239">
        <v>3322</v>
      </c>
      <c r="E934" s="20"/>
      <c r="F934" s="216"/>
    </row>
    <row r="935" spans="4:6">
      <c r="D935" s="239">
        <v>3323</v>
      </c>
      <c r="E935" s="20"/>
      <c r="F935" s="216"/>
    </row>
    <row r="936" spans="4:6">
      <c r="D936" s="239">
        <v>3324</v>
      </c>
      <c r="E936" s="20"/>
      <c r="F936" s="216"/>
    </row>
    <row r="937" spans="4:6">
      <c r="D937" s="239">
        <v>3325</v>
      </c>
      <c r="E937" s="20"/>
      <c r="F937" s="216"/>
    </row>
    <row r="938" spans="4:6">
      <c r="D938" s="239">
        <v>3332</v>
      </c>
      <c r="E938" s="20"/>
      <c r="F938" s="216"/>
    </row>
    <row r="939" spans="4:6">
      <c r="D939" s="239">
        <v>3339</v>
      </c>
      <c r="E939" s="20"/>
      <c r="F939" s="216"/>
    </row>
    <row r="940" spans="4:6">
      <c r="D940" s="239">
        <v>3354</v>
      </c>
      <c r="E940" s="20"/>
      <c r="F940" s="216"/>
    </row>
    <row r="941" spans="4:6">
      <c r="D941" s="239">
        <v>3360</v>
      </c>
      <c r="E941" s="20"/>
      <c r="F941" s="216"/>
    </row>
    <row r="942" spans="4:6">
      <c r="D942" s="239">
        <v>3362</v>
      </c>
      <c r="E942" s="20"/>
      <c r="F942" s="216"/>
    </row>
    <row r="943" spans="4:6">
      <c r="D943" s="239">
        <v>3363</v>
      </c>
      <c r="E943" s="20"/>
      <c r="F943" s="216"/>
    </row>
    <row r="944" spans="4:6">
      <c r="D944" s="239">
        <v>3372</v>
      </c>
      <c r="E944" s="20"/>
      <c r="F944" s="216"/>
    </row>
    <row r="945" spans="4:6">
      <c r="D945" s="239">
        <v>3373</v>
      </c>
      <c r="E945" s="20"/>
      <c r="F945" s="216"/>
    </row>
    <row r="946" spans="4:6">
      <c r="D946" s="239">
        <v>3374</v>
      </c>
      <c r="E946" s="20"/>
      <c r="F946" s="216"/>
    </row>
    <row r="947" spans="4:6">
      <c r="D947" s="239">
        <v>3379</v>
      </c>
      <c r="E947" s="20"/>
      <c r="F947" s="216"/>
    </row>
    <row r="948" spans="4:6">
      <c r="D948" s="239">
        <v>3388</v>
      </c>
      <c r="E948" s="20"/>
      <c r="F948" s="216"/>
    </row>
    <row r="949" spans="4:6">
      <c r="D949" s="239">
        <v>3390</v>
      </c>
      <c r="E949" s="20"/>
      <c r="F949" s="216"/>
    </row>
    <row r="950" spans="4:6">
      <c r="D950" s="239">
        <v>3402</v>
      </c>
      <c r="E950" s="20"/>
      <c r="F950" s="216"/>
    </row>
    <row r="951" spans="4:6">
      <c r="D951" s="239">
        <v>3428</v>
      </c>
      <c r="E951" s="20"/>
      <c r="F951" s="216"/>
    </row>
    <row r="952" spans="4:6">
      <c r="D952" s="239">
        <v>3431</v>
      </c>
      <c r="E952" s="20"/>
      <c r="F952" s="216"/>
    </row>
    <row r="953" spans="4:6">
      <c r="D953" s="239">
        <v>3434</v>
      </c>
      <c r="E953" s="20"/>
      <c r="F953" s="216"/>
    </row>
    <row r="954" spans="4:6">
      <c r="D954" s="239">
        <v>3438</v>
      </c>
      <c r="E954" s="20"/>
      <c r="F954" s="216"/>
    </row>
    <row r="955" spans="4:6">
      <c r="D955" s="239">
        <v>3441</v>
      </c>
      <c r="E955" s="20"/>
      <c r="F955" s="216"/>
    </row>
    <row r="956" spans="4:6">
      <c r="D956" s="239">
        <v>3444</v>
      </c>
      <c r="E956" s="20"/>
      <c r="F956" s="216"/>
    </row>
    <row r="957" spans="4:6">
      <c r="D957" s="239">
        <v>3452</v>
      </c>
      <c r="E957" s="20"/>
      <c r="F957" s="216"/>
    </row>
    <row r="958" spans="4:6">
      <c r="D958" s="239">
        <v>3455</v>
      </c>
      <c r="E958" s="20"/>
      <c r="F958" s="216"/>
    </row>
    <row r="959" spans="4:6">
      <c r="D959" s="239">
        <v>3465</v>
      </c>
      <c r="E959" s="20"/>
      <c r="F959" s="216"/>
    </row>
    <row r="960" spans="4:6">
      <c r="D960" s="239">
        <v>3466</v>
      </c>
      <c r="E960" s="20"/>
      <c r="F960" s="216"/>
    </row>
    <row r="961" spans="4:6">
      <c r="D961" s="239">
        <v>3479</v>
      </c>
      <c r="E961" s="20"/>
      <c r="F961" s="216"/>
    </row>
    <row r="962" spans="4:6">
      <c r="D962" s="239">
        <v>3483</v>
      </c>
      <c r="E962" s="20"/>
      <c r="F962" s="216"/>
    </row>
    <row r="963" spans="4:6">
      <c r="D963" s="239">
        <v>3484</v>
      </c>
      <c r="E963" s="20"/>
      <c r="F963" s="216"/>
    </row>
    <row r="964" spans="4:6">
      <c r="D964" s="239">
        <v>3489</v>
      </c>
      <c r="E964" s="20"/>
      <c r="F964" s="216"/>
    </row>
    <row r="965" spans="4:6">
      <c r="D965" s="239">
        <v>3490</v>
      </c>
      <c r="E965" s="20"/>
      <c r="F965" s="216"/>
    </row>
    <row r="966" spans="4:6">
      <c r="D966" s="239">
        <v>3491</v>
      </c>
      <c r="E966" s="20"/>
      <c r="F966" s="216"/>
    </row>
    <row r="967" spans="4:6">
      <c r="D967" s="239">
        <v>3492</v>
      </c>
      <c r="E967" s="20"/>
      <c r="F967" s="216"/>
    </row>
    <row r="968" spans="4:6">
      <c r="D968" s="239">
        <v>3498</v>
      </c>
      <c r="E968" s="20"/>
      <c r="F968" s="216"/>
    </row>
    <row r="969" spans="4:6">
      <c r="D969" s="239">
        <v>3499</v>
      </c>
      <c r="E969" s="20"/>
      <c r="F969" s="216"/>
    </row>
    <row r="970" spans="4:6">
      <c r="D970" s="239">
        <v>3508</v>
      </c>
      <c r="E970" s="20"/>
      <c r="F970" s="216"/>
    </row>
    <row r="971" spans="4:6">
      <c r="D971" s="239">
        <v>3511</v>
      </c>
      <c r="E971" s="20"/>
      <c r="F971" s="216"/>
    </row>
    <row r="972" spans="4:6">
      <c r="D972" s="239">
        <v>3512</v>
      </c>
      <c r="E972" s="20"/>
      <c r="F972" s="216"/>
    </row>
    <row r="973" spans="4:6">
      <c r="D973" s="239">
        <v>3516</v>
      </c>
      <c r="E973" s="20"/>
      <c r="F973" s="216"/>
    </row>
    <row r="974" spans="4:6">
      <c r="D974" s="239">
        <v>3520</v>
      </c>
      <c r="E974" s="20"/>
      <c r="F974" s="216"/>
    </row>
    <row r="975" spans="4:6">
      <c r="D975" s="239">
        <v>3521</v>
      </c>
      <c r="E975" s="20"/>
      <c r="F975" s="216"/>
    </row>
    <row r="976" spans="4:6">
      <c r="D976" s="239">
        <v>3522</v>
      </c>
      <c r="E976" s="20"/>
      <c r="F976" s="216"/>
    </row>
    <row r="977" spans="4:6">
      <c r="D977" s="239">
        <v>3523</v>
      </c>
      <c r="E977" s="20"/>
      <c r="F977" s="216"/>
    </row>
    <row r="978" spans="4:6">
      <c r="D978" s="239">
        <v>3526</v>
      </c>
      <c r="E978" s="20"/>
      <c r="F978" s="216"/>
    </row>
    <row r="979" spans="4:6">
      <c r="D979" s="239">
        <v>3527</v>
      </c>
      <c r="E979" s="20"/>
      <c r="F979" s="216"/>
    </row>
    <row r="980" spans="4:6">
      <c r="D980" s="239">
        <v>3528</v>
      </c>
      <c r="E980" s="20"/>
      <c r="F980" s="216"/>
    </row>
    <row r="981" spans="4:6">
      <c r="D981" s="239">
        <v>3529</v>
      </c>
      <c r="E981" s="20"/>
      <c r="F981" s="216"/>
    </row>
    <row r="982" spans="4:6">
      <c r="D982" s="239">
        <v>3531</v>
      </c>
      <c r="E982" s="20"/>
      <c r="F982" s="216"/>
    </row>
    <row r="983" spans="4:6">
      <c r="D983" s="239">
        <v>3537</v>
      </c>
      <c r="E983" s="20"/>
      <c r="F983" s="216"/>
    </row>
    <row r="984" spans="4:6">
      <c r="D984" s="239">
        <v>3540</v>
      </c>
      <c r="E984" s="20"/>
      <c r="F984" s="216"/>
    </row>
    <row r="985" spans="4:6">
      <c r="D985" s="239">
        <v>3541</v>
      </c>
      <c r="E985" s="20"/>
      <c r="F985" s="216"/>
    </row>
    <row r="986" spans="4:6">
      <c r="D986" s="239">
        <v>3546</v>
      </c>
      <c r="E986" s="20"/>
      <c r="F986" s="216"/>
    </row>
    <row r="987" spans="4:6">
      <c r="D987" s="239">
        <v>3548</v>
      </c>
      <c r="E987" s="20"/>
      <c r="F987" s="216"/>
    </row>
    <row r="988" spans="4:6">
      <c r="D988" s="239">
        <v>3551</v>
      </c>
      <c r="E988" s="20"/>
      <c r="F988" s="216"/>
    </row>
    <row r="989" spans="4:6">
      <c r="D989" s="239">
        <v>3552</v>
      </c>
      <c r="E989" s="20"/>
      <c r="F989" s="216"/>
    </row>
    <row r="990" spans="4:6">
      <c r="D990" s="239">
        <v>3553</v>
      </c>
      <c r="E990" s="20"/>
      <c r="F990" s="216"/>
    </row>
    <row r="991" spans="4:6">
      <c r="D991" s="239">
        <v>3555</v>
      </c>
      <c r="E991" s="20"/>
      <c r="F991" s="216"/>
    </row>
    <row r="992" spans="4:6">
      <c r="D992" s="239">
        <v>3556</v>
      </c>
      <c r="E992" s="20"/>
      <c r="F992" s="216"/>
    </row>
    <row r="993" spans="4:6">
      <c r="D993" s="239">
        <v>3558</v>
      </c>
      <c r="E993" s="20"/>
      <c r="F993" s="216"/>
    </row>
    <row r="994" spans="4:6">
      <c r="D994" s="239">
        <v>3562</v>
      </c>
      <c r="E994" s="20"/>
      <c r="F994" s="216"/>
    </row>
    <row r="995" spans="4:6">
      <c r="D995" s="239">
        <v>3563</v>
      </c>
      <c r="E995" s="20"/>
      <c r="F995" s="216"/>
    </row>
    <row r="996" spans="4:6">
      <c r="D996" s="239">
        <v>3564</v>
      </c>
      <c r="E996" s="20"/>
      <c r="F996" s="216"/>
    </row>
    <row r="997" spans="4:6">
      <c r="D997" s="239">
        <v>3567</v>
      </c>
      <c r="E997" s="20"/>
      <c r="F997" s="216"/>
    </row>
    <row r="998" spans="4:6">
      <c r="D998" s="239">
        <v>3570</v>
      </c>
      <c r="E998" s="20"/>
      <c r="F998" s="216"/>
    </row>
    <row r="999" spans="4:6">
      <c r="D999" s="239">
        <v>3577</v>
      </c>
      <c r="E999" s="20"/>
      <c r="F999" s="216"/>
    </row>
    <row r="1000" spans="4:6">
      <c r="D1000" s="239">
        <v>3580</v>
      </c>
      <c r="E1000" s="20"/>
      <c r="F1000" s="216"/>
    </row>
    <row r="1001" spans="4:6">
      <c r="D1001" s="239">
        <v>3581</v>
      </c>
      <c r="E1001" s="20"/>
      <c r="F1001" s="216"/>
    </row>
    <row r="1002" spans="4:6">
      <c r="D1002" s="239">
        <v>3587</v>
      </c>
      <c r="E1002" s="20"/>
      <c r="F1002" s="216"/>
    </row>
    <row r="1003" spans="4:6">
      <c r="D1003" s="239">
        <v>3594</v>
      </c>
      <c r="E1003" s="20"/>
      <c r="F1003" s="216"/>
    </row>
    <row r="1004" spans="4:6">
      <c r="D1004" s="239">
        <v>3609</v>
      </c>
      <c r="E1004" s="20"/>
      <c r="F1004" s="216"/>
    </row>
    <row r="1005" spans="4:6">
      <c r="D1005" s="239">
        <v>3611</v>
      </c>
      <c r="E1005" s="20"/>
      <c r="F1005" s="216"/>
    </row>
    <row r="1006" spans="4:6">
      <c r="D1006" s="239">
        <v>3615</v>
      </c>
      <c r="E1006" s="20"/>
      <c r="F1006" s="216"/>
    </row>
    <row r="1007" spans="4:6">
      <c r="D1007" s="239">
        <v>3623</v>
      </c>
      <c r="E1007" s="20"/>
      <c r="F1007" s="216"/>
    </row>
    <row r="1008" spans="4:6">
      <c r="D1008" s="239">
        <v>3624</v>
      </c>
      <c r="E1008" s="20"/>
      <c r="F1008" s="216"/>
    </row>
    <row r="1009" spans="4:6">
      <c r="D1009" s="239">
        <v>3625</v>
      </c>
      <c r="E1009" s="20"/>
      <c r="F1009" s="216"/>
    </row>
    <row r="1010" spans="4:6">
      <c r="D1010" s="239">
        <v>3628</v>
      </c>
      <c r="E1010" s="20"/>
      <c r="F1010" s="216"/>
    </row>
    <row r="1011" spans="4:6">
      <c r="D1011" s="239">
        <v>3629</v>
      </c>
      <c r="E1011" s="20"/>
      <c r="F1011" s="216"/>
    </row>
    <row r="1012" spans="4:6">
      <c r="D1012" s="239">
        <v>3630</v>
      </c>
      <c r="E1012" s="20"/>
      <c r="F1012" s="216"/>
    </row>
    <row r="1013" spans="4:6">
      <c r="D1013" s="239">
        <v>3631</v>
      </c>
      <c r="E1013" s="20"/>
      <c r="F1013" s="216"/>
    </row>
    <row r="1014" spans="4:6">
      <c r="D1014" s="239">
        <v>3632</v>
      </c>
      <c r="E1014" s="20"/>
      <c r="F1014" s="216"/>
    </row>
    <row r="1015" spans="4:6">
      <c r="D1015" s="239">
        <v>3642</v>
      </c>
      <c r="E1015" s="20"/>
      <c r="F1015" s="216"/>
    </row>
    <row r="1016" spans="4:6">
      <c r="D1016" s="239">
        <v>3646</v>
      </c>
      <c r="E1016" s="20"/>
      <c r="F1016" s="216"/>
    </row>
    <row r="1017" spans="4:6">
      <c r="D1017" s="239">
        <v>3652</v>
      </c>
      <c r="E1017" s="20"/>
      <c r="F1017" s="216"/>
    </row>
    <row r="1018" spans="4:6">
      <c r="D1018" s="239">
        <v>3658</v>
      </c>
      <c r="E1018" s="20"/>
      <c r="F1018" s="216"/>
    </row>
    <row r="1019" spans="4:6">
      <c r="D1019" s="239">
        <v>3662</v>
      </c>
      <c r="E1019" s="20"/>
      <c r="F1019" s="216"/>
    </row>
    <row r="1020" spans="4:6">
      <c r="D1020" s="239">
        <v>3663</v>
      </c>
      <c r="E1020" s="20"/>
      <c r="F1020" s="216"/>
    </row>
    <row r="1021" spans="4:6">
      <c r="D1021" s="239">
        <v>3664</v>
      </c>
      <c r="E1021" s="20"/>
      <c r="F1021" s="216"/>
    </row>
    <row r="1022" spans="4:6">
      <c r="D1022" s="239">
        <v>3666</v>
      </c>
      <c r="E1022" s="20"/>
      <c r="F1022" s="216"/>
    </row>
    <row r="1023" spans="4:6">
      <c r="D1023" s="239">
        <v>3672</v>
      </c>
      <c r="E1023" s="20"/>
      <c r="F1023" s="216"/>
    </row>
    <row r="1024" spans="4:6">
      <c r="D1024" s="239">
        <v>3675</v>
      </c>
      <c r="E1024" s="20"/>
      <c r="F1024" s="216"/>
    </row>
    <row r="1025" spans="4:6">
      <c r="D1025" s="239">
        <v>3680</v>
      </c>
      <c r="E1025" s="20"/>
      <c r="F1025" s="216"/>
    </row>
    <row r="1026" spans="4:6">
      <c r="D1026" s="239">
        <v>3684</v>
      </c>
      <c r="E1026" s="20"/>
      <c r="F1026" s="216"/>
    </row>
    <row r="1027" spans="4:6">
      <c r="D1027" s="239">
        <v>3685</v>
      </c>
      <c r="E1027" s="20"/>
      <c r="F1027" s="216"/>
    </row>
    <row r="1028" spans="4:6">
      <c r="D1028" s="239">
        <v>3687</v>
      </c>
      <c r="E1028" s="20"/>
      <c r="F1028" s="216"/>
    </row>
    <row r="1029" spans="4:6">
      <c r="D1029" s="239">
        <v>3689</v>
      </c>
      <c r="E1029" s="20"/>
      <c r="F1029" s="216"/>
    </row>
    <row r="1030" spans="4:6">
      <c r="D1030" s="239">
        <v>3691</v>
      </c>
      <c r="E1030" s="20"/>
      <c r="F1030" s="216"/>
    </row>
    <row r="1031" spans="4:6">
      <c r="D1031" s="239">
        <v>3693</v>
      </c>
      <c r="E1031" s="20"/>
      <c r="F1031" s="216"/>
    </row>
    <row r="1032" spans="4:6">
      <c r="D1032" s="239">
        <v>3707</v>
      </c>
      <c r="E1032" s="20"/>
      <c r="F1032" s="216"/>
    </row>
    <row r="1033" spans="4:6">
      <c r="D1033" s="239">
        <v>4102</v>
      </c>
      <c r="E1033" s="20"/>
      <c r="F1033" s="216"/>
    </row>
    <row r="1034" spans="4:6">
      <c r="D1034" s="239">
        <v>4103</v>
      </c>
      <c r="E1034" s="20"/>
      <c r="F1034" s="216"/>
    </row>
    <row r="1035" spans="4:6">
      <c r="D1035" s="239">
        <v>4105</v>
      </c>
      <c r="E1035" s="20"/>
      <c r="F1035" s="216"/>
    </row>
    <row r="1036" spans="4:6">
      <c r="D1036" s="239">
        <v>4107</v>
      </c>
      <c r="E1036" s="20"/>
      <c r="F1036" s="216"/>
    </row>
    <row r="1037" spans="4:6">
      <c r="D1037" s="239">
        <v>4109</v>
      </c>
      <c r="E1037" s="20"/>
      <c r="F1037" s="216"/>
    </row>
    <row r="1038" spans="4:6">
      <c r="D1038" s="239">
        <v>4111</v>
      </c>
      <c r="E1038" s="20"/>
      <c r="F1038" s="216"/>
    </row>
    <row r="1039" spans="4:6">
      <c r="D1039" s="239">
        <v>4113</v>
      </c>
      <c r="E1039" s="20"/>
      <c r="F1039" s="216"/>
    </row>
    <row r="1040" spans="4:6">
      <c r="D1040" s="239">
        <v>4114</v>
      </c>
      <c r="E1040" s="20"/>
      <c r="F1040" s="216"/>
    </row>
    <row r="1041" spans="4:6">
      <c r="D1041" s="239">
        <v>4120</v>
      </c>
      <c r="E1041" s="20"/>
      <c r="F1041" s="216"/>
    </row>
    <row r="1042" spans="4:6">
      <c r="D1042" s="239">
        <v>4121</v>
      </c>
      <c r="E1042" s="20"/>
      <c r="F1042" s="216"/>
    </row>
    <row r="1043" spans="4:6">
      <c r="D1043" s="239">
        <v>4123</v>
      </c>
      <c r="E1043" s="20"/>
      <c r="F1043" s="216"/>
    </row>
    <row r="1044" spans="4:6">
      <c r="D1044" s="239">
        <v>4126</v>
      </c>
      <c r="E1044" s="20"/>
      <c r="F1044" s="216"/>
    </row>
    <row r="1045" spans="4:6">
      <c r="D1045" s="239">
        <v>4127</v>
      </c>
      <c r="E1045" s="20"/>
      <c r="F1045" s="216"/>
    </row>
    <row r="1046" spans="4:6">
      <c r="D1046" s="239">
        <v>4128</v>
      </c>
      <c r="E1046" s="20"/>
      <c r="F1046" s="216"/>
    </row>
    <row r="1047" spans="4:6">
      <c r="D1047" s="239">
        <v>4129</v>
      </c>
      <c r="E1047" s="20"/>
      <c r="F1047" s="216"/>
    </row>
    <row r="1048" spans="4:6">
      <c r="D1048" s="239">
        <v>4130</v>
      </c>
      <c r="E1048" s="20"/>
      <c r="F1048" s="216"/>
    </row>
    <row r="1049" spans="4:6">
      <c r="D1049" s="239">
        <v>4131</v>
      </c>
      <c r="E1049" s="20"/>
      <c r="F1049" s="216"/>
    </row>
    <row r="1050" spans="4:6">
      <c r="D1050" s="239">
        <v>4138</v>
      </c>
      <c r="E1050" s="20"/>
      <c r="F1050" s="216"/>
    </row>
    <row r="1051" spans="4:6">
      <c r="D1051" s="239">
        <v>4139</v>
      </c>
      <c r="E1051" s="20"/>
      <c r="F1051" s="216"/>
    </row>
    <row r="1052" spans="4:6">
      <c r="D1052" s="239">
        <v>4152</v>
      </c>
      <c r="E1052" s="20"/>
      <c r="F1052" s="216"/>
    </row>
    <row r="1053" spans="4:6">
      <c r="D1053" s="239">
        <v>4153</v>
      </c>
      <c r="E1053" s="20"/>
      <c r="F1053" s="216"/>
    </row>
    <row r="1054" spans="4:6">
      <c r="D1054" s="239">
        <v>4154</v>
      </c>
      <c r="E1054" s="20"/>
      <c r="F1054" s="216"/>
    </row>
    <row r="1055" spans="4:6">
      <c r="D1055" s="239">
        <v>4157</v>
      </c>
      <c r="E1055" s="20"/>
      <c r="F1055" s="216"/>
    </row>
    <row r="1056" spans="4:6">
      <c r="D1056" s="239">
        <v>4160</v>
      </c>
      <c r="E1056" s="20"/>
      <c r="F1056" s="216"/>
    </row>
    <row r="1057" spans="4:6">
      <c r="D1057" s="239">
        <v>4161</v>
      </c>
      <c r="E1057" s="20"/>
      <c r="F1057" s="216"/>
    </row>
    <row r="1058" spans="4:6">
      <c r="D1058" s="239">
        <v>4162</v>
      </c>
      <c r="E1058" s="20"/>
      <c r="F1058" s="216"/>
    </row>
    <row r="1059" spans="4:6">
      <c r="D1059" s="239">
        <v>4163</v>
      </c>
      <c r="E1059" s="20"/>
      <c r="F1059" s="216"/>
    </row>
    <row r="1060" spans="4:6">
      <c r="D1060" s="239">
        <v>4167</v>
      </c>
      <c r="E1060" s="20"/>
      <c r="F1060" s="216"/>
    </row>
    <row r="1061" spans="4:6">
      <c r="D1061" s="239">
        <v>4168</v>
      </c>
      <c r="E1061" s="20"/>
      <c r="F1061" s="216"/>
    </row>
    <row r="1062" spans="4:6">
      <c r="D1062" s="239">
        <v>4171</v>
      </c>
      <c r="E1062" s="20"/>
      <c r="F1062" s="216"/>
    </row>
    <row r="1063" spans="4:6">
      <c r="D1063" s="239">
        <v>4173</v>
      </c>
      <c r="E1063" s="20"/>
      <c r="F1063" s="216"/>
    </row>
    <row r="1064" spans="4:6">
      <c r="D1064" s="239">
        <v>4174</v>
      </c>
      <c r="E1064" s="20"/>
      <c r="F1064" s="216"/>
    </row>
    <row r="1065" spans="4:6">
      <c r="D1065" s="239">
        <v>4175</v>
      </c>
      <c r="E1065" s="20"/>
      <c r="F1065" s="216"/>
    </row>
    <row r="1066" spans="4:6">
      <c r="D1066" s="239">
        <v>4180</v>
      </c>
      <c r="E1066" s="20"/>
      <c r="F1066" s="216"/>
    </row>
    <row r="1067" spans="4:6">
      <c r="D1067" s="239">
        <v>4188</v>
      </c>
      <c r="E1067" s="20"/>
      <c r="F1067" s="216"/>
    </row>
    <row r="1068" spans="4:6">
      <c r="D1068" s="239">
        <v>4192</v>
      </c>
      <c r="E1068" s="20"/>
      <c r="F1068" s="216"/>
    </row>
    <row r="1069" spans="4:6">
      <c r="D1069" s="239">
        <v>4198</v>
      </c>
      <c r="E1069" s="20"/>
      <c r="F1069" s="216"/>
    </row>
    <row r="1070" spans="4:6">
      <c r="D1070" s="239">
        <v>4205</v>
      </c>
      <c r="E1070" s="20"/>
      <c r="F1070" s="216"/>
    </row>
    <row r="1071" spans="4:6">
      <c r="D1071" s="239">
        <v>4207</v>
      </c>
      <c r="E1071" s="20"/>
      <c r="F1071" s="216"/>
    </row>
    <row r="1072" spans="4:6">
      <c r="D1072" s="239">
        <v>4303</v>
      </c>
      <c r="E1072" s="20"/>
      <c r="F1072" s="216"/>
    </row>
    <row r="1073" spans="4:6">
      <c r="D1073" s="239">
        <v>4304</v>
      </c>
      <c r="E1073" s="20"/>
      <c r="F1073" s="216"/>
    </row>
    <row r="1074" spans="4:6">
      <c r="D1074" s="239">
        <v>4305</v>
      </c>
      <c r="E1074" s="20"/>
      <c r="F1074" s="216"/>
    </row>
    <row r="1075" spans="4:6">
      <c r="D1075" s="239">
        <v>4401</v>
      </c>
      <c r="E1075" s="20"/>
      <c r="F1075" s="216"/>
    </row>
    <row r="1076" spans="4:6">
      <c r="D1076" s="239">
        <v>4402</v>
      </c>
      <c r="E1076" s="20"/>
      <c r="F1076" s="216"/>
    </row>
    <row r="1077" spans="4:6">
      <c r="D1077" s="239">
        <v>4406</v>
      </c>
      <c r="E1077" s="20"/>
      <c r="F1077" s="216"/>
    </row>
    <row r="1078" spans="4:6">
      <c r="D1078" s="239">
        <v>4413</v>
      </c>
      <c r="E1078" s="20"/>
      <c r="F1078" s="216"/>
    </row>
    <row r="1079" spans="4:6">
      <c r="D1079" s="239">
        <v>4415</v>
      </c>
      <c r="E1079" s="20"/>
      <c r="F1079" s="216"/>
    </row>
    <row r="1080" spans="4:6">
      <c r="D1080" s="239">
        <v>4416</v>
      </c>
      <c r="E1080" s="20"/>
      <c r="F1080" s="216"/>
    </row>
    <row r="1081" spans="4:6">
      <c r="D1081" s="239">
        <v>4417</v>
      </c>
      <c r="E1081" s="20"/>
      <c r="F1081" s="216"/>
    </row>
    <row r="1082" spans="4:6">
      <c r="D1082" s="239">
        <v>4419</v>
      </c>
      <c r="E1082" s="20"/>
      <c r="F1082" s="216"/>
    </row>
    <row r="1083" spans="4:6">
      <c r="D1083" s="239">
        <v>4420</v>
      </c>
      <c r="E1083" s="20"/>
      <c r="F1083" s="216"/>
    </row>
    <row r="1084" spans="4:6">
      <c r="D1084" s="239">
        <v>4429</v>
      </c>
      <c r="E1084" s="20"/>
      <c r="F1084" s="216"/>
    </row>
    <row r="1085" spans="4:6">
      <c r="D1085" s="239">
        <v>4430</v>
      </c>
      <c r="E1085" s="20"/>
      <c r="F1085" s="216"/>
    </row>
    <row r="1086" spans="4:6">
      <c r="D1086" s="239">
        <v>4432</v>
      </c>
      <c r="E1086" s="20"/>
      <c r="F1086" s="216"/>
    </row>
    <row r="1087" spans="4:6">
      <c r="D1087" s="239">
        <v>4433</v>
      </c>
      <c r="E1087" s="20"/>
      <c r="F1087" s="216"/>
    </row>
    <row r="1088" spans="4:6">
      <c r="D1088" s="239">
        <v>4502</v>
      </c>
      <c r="E1088" s="20"/>
      <c r="F1088" s="216"/>
    </row>
    <row r="1089" spans="4:6">
      <c r="D1089" s="239">
        <v>4503</v>
      </c>
      <c r="E1089" s="20"/>
      <c r="F1089" s="216"/>
    </row>
    <row r="1090" spans="4:6">
      <c r="D1090" s="239">
        <v>4506</v>
      </c>
      <c r="E1090" s="20"/>
      <c r="F1090" s="216"/>
    </row>
    <row r="1091" spans="4:6">
      <c r="D1091" s="239">
        <v>4510</v>
      </c>
      <c r="E1091" s="20"/>
      <c r="F1091" s="216"/>
    </row>
    <row r="1092" spans="4:6">
      <c r="D1092" s="239">
        <v>4513</v>
      </c>
      <c r="E1092" s="20"/>
      <c r="F1092" s="216"/>
    </row>
    <row r="1093" spans="4:6">
      <c r="D1093" s="239">
        <v>4523</v>
      </c>
      <c r="E1093" s="20"/>
      <c r="F1093" s="216"/>
    </row>
    <row r="1094" spans="4:6">
      <c r="D1094" s="239">
        <v>4527</v>
      </c>
      <c r="E1094" s="20"/>
      <c r="F1094" s="216"/>
    </row>
    <row r="1095" spans="4:6">
      <c r="D1095" s="239">
        <v>4528</v>
      </c>
      <c r="E1095" s="20"/>
      <c r="F1095" s="216"/>
    </row>
    <row r="1096" spans="4:6">
      <c r="D1096" s="239">
        <v>4529</v>
      </c>
      <c r="E1096" s="20"/>
      <c r="F1096" s="216"/>
    </row>
    <row r="1097" spans="4:6">
      <c r="D1097" s="239">
        <v>4530</v>
      </c>
      <c r="E1097" s="20"/>
      <c r="F1097" s="216"/>
    </row>
    <row r="1098" spans="4:6">
      <c r="D1098" s="239">
        <v>4533</v>
      </c>
      <c r="E1098" s="20"/>
      <c r="F1098" s="216"/>
    </row>
    <row r="1099" spans="4:6">
      <c r="D1099" s="239">
        <v>4534</v>
      </c>
      <c r="E1099" s="20"/>
      <c r="F1099" s="216"/>
    </row>
    <row r="1100" spans="4:6">
      <c r="D1100" s="239">
        <v>4535</v>
      </c>
      <c r="E1100" s="20"/>
      <c r="F1100" s="216"/>
    </row>
    <row r="1101" spans="4:6">
      <c r="D1101" s="239">
        <v>4541</v>
      </c>
      <c r="E1101" s="20"/>
      <c r="F1101" s="216"/>
    </row>
    <row r="1102" spans="4:6">
      <c r="D1102" s="239">
        <v>4542</v>
      </c>
      <c r="E1102" s="20"/>
      <c r="F1102" s="216"/>
    </row>
    <row r="1103" spans="4:6">
      <c r="D1103" s="239">
        <v>4549</v>
      </c>
      <c r="E1103" s="20"/>
      <c r="F1103" s="216"/>
    </row>
    <row r="1104" spans="4:6">
      <c r="D1104" s="239">
        <v>4550</v>
      </c>
      <c r="E1104" s="20"/>
      <c r="F1104" s="216"/>
    </row>
    <row r="1105" spans="4:6">
      <c r="D1105" s="239">
        <v>4609</v>
      </c>
      <c r="E1105" s="20"/>
      <c r="F1105" s="216"/>
    </row>
    <row r="1106" spans="4:6">
      <c r="D1106" s="239">
        <v>4702</v>
      </c>
      <c r="E1106" s="20"/>
      <c r="F1106" s="216"/>
    </row>
    <row r="1107" spans="4:6">
      <c r="D1107" s="239">
        <v>4706</v>
      </c>
      <c r="E1107" s="20"/>
      <c r="F1107" s="216"/>
    </row>
    <row r="1108" spans="4:6">
      <c r="D1108" s="239">
        <v>4711</v>
      </c>
      <c r="E1108" s="20"/>
      <c r="F1108" s="216"/>
    </row>
    <row r="1109" spans="4:6">
      <c r="D1109" s="239">
        <v>4712</v>
      </c>
      <c r="E1109" s="20"/>
      <c r="F1109" s="216"/>
    </row>
    <row r="1110" spans="4:6">
      <c r="D1110" s="239">
        <v>4714</v>
      </c>
      <c r="E1110" s="20"/>
      <c r="F1110" s="216"/>
    </row>
    <row r="1111" spans="4:6">
      <c r="D1111" s="239">
        <v>4716</v>
      </c>
      <c r="E1111" s="20"/>
      <c r="F1111" s="216"/>
    </row>
    <row r="1112" spans="4:6">
      <c r="D1112" s="239">
        <v>4721</v>
      </c>
      <c r="E1112" s="20"/>
      <c r="F1112" s="216"/>
    </row>
    <row r="1113" spans="4:6">
      <c r="D1113" s="239">
        <v>4726</v>
      </c>
      <c r="E1113" s="20"/>
      <c r="F1113" s="216"/>
    </row>
    <row r="1114" spans="4:6">
      <c r="D1114" s="239">
        <v>4728</v>
      </c>
      <c r="E1114" s="20"/>
      <c r="F1114" s="216"/>
    </row>
    <row r="1115" spans="4:6">
      <c r="D1115" s="239">
        <v>4729</v>
      </c>
      <c r="E1115" s="20"/>
      <c r="F1115" s="216"/>
    </row>
    <row r="1116" spans="4:6">
      <c r="D1116" s="239">
        <v>4735</v>
      </c>
      <c r="E1116" s="20"/>
      <c r="F1116" s="216"/>
    </row>
    <row r="1117" spans="4:6">
      <c r="D1117" s="239">
        <v>4736</v>
      </c>
      <c r="E1117" s="20"/>
      <c r="F1117" s="216"/>
    </row>
    <row r="1118" spans="4:6">
      <c r="D1118" s="239">
        <v>4739</v>
      </c>
      <c r="E1118" s="20"/>
      <c r="F1118" s="216"/>
    </row>
    <row r="1119" spans="4:6">
      <c r="D1119" s="239">
        <v>4743</v>
      </c>
      <c r="E1119" s="20"/>
      <c r="F1119" s="216"/>
    </row>
    <row r="1120" spans="4:6">
      <c r="D1120" s="239">
        <v>4745</v>
      </c>
      <c r="E1120" s="20"/>
      <c r="F1120" s="216"/>
    </row>
    <row r="1121" spans="4:6">
      <c r="D1121" s="239">
        <v>4747</v>
      </c>
      <c r="E1121" s="20"/>
      <c r="F1121" s="216"/>
    </row>
    <row r="1122" spans="4:6">
      <c r="D1122" s="239">
        <v>4903</v>
      </c>
      <c r="E1122" s="20"/>
      <c r="F1122" s="216"/>
    </row>
    <row r="1123" spans="4:6">
      <c r="D1123" s="239">
        <v>4905</v>
      </c>
      <c r="E1123" s="20"/>
      <c r="F1123" s="216"/>
    </row>
    <row r="1124" spans="4:6">
      <c r="D1124" s="239">
        <v>4907</v>
      </c>
      <c r="E1124" s="20"/>
      <c r="F1124" s="216"/>
    </row>
    <row r="1125" spans="4:6">
      <c r="D1125" s="239">
        <v>4908</v>
      </c>
      <c r="E1125" s="20"/>
      <c r="F1125" s="216"/>
    </row>
    <row r="1126" spans="4:6">
      <c r="D1126" s="239">
        <v>4909</v>
      </c>
      <c r="E1126" s="20"/>
      <c r="F1126" s="216"/>
    </row>
    <row r="1127" spans="4:6">
      <c r="D1127" s="239">
        <v>4911</v>
      </c>
      <c r="E1127" s="20"/>
      <c r="F1127" s="216"/>
    </row>
    <row r="1128" spans="4:6">
      <c r="D1128" s="239">
        <v>4924</v>
      </c>
      <c r="E1128" s="20"/>
      <c r="F1128" s="216"/>
    </row>
    <row r="1129" spans="4:6">
      <c r="D1129" s="239">
        <v>4933</v>
      </c>
      <c r="E1129" s="20"/>
      <c r="F1129" s="216"/>
    </row>
    <row r="1130" spans="4:6">
      <c r="D1130" s="239">
        <v>4939</v>
      </c>
      <c r="E1130" s="20"/>
      <c r="F1130" s="216"/>
    </row>
    <row r="1131" spans="4:6">
      <c r="D1131" s="239">
        <v>4944</v>
      </c>
      <c r="E1131" s="20"/>
      <c r="F1131" s="216"/>
    </row>
    <row r="1132" spans="4:6">
      <c r="D1132" s="239">
        <v>4946</v>
      </c>
      <c r="E1132" s="20"/>
      <c r="F1132" s="216"/>
    </row>
    <row r="1133" spans="4:6">
      <c r="D1133" s="239">
        <v>4947</v>
      </c>
      <c r="E1133" s="20"/>
      <c r="F1133" s="216"/>
    </row>
    <row r="1134" spans="4:6">
      <c r="D1134" s="239">
        <v>4950</v>
      </c>
      <c r="E1134" s="20"/>
      <c r="F1134" s="216"/>
    </row>
    <row r="1135" spans="4:6">
      <c r="D1135" s="239">
        <v>4953</v>
      </c>
      <c r="E1135" s="20"/>
      <c r="F1135" s="216"/>
    </row>
    <row r="1136" spans="4:6">
      <c r="D1136" s="239">
        <v>4965</v>
      </c>
      <c r="E1136" s="20"/>
      <c r="F1136" s="216"/>
    </row>
    <row r="1137" spans="4:6">
      <c r="D1137" s="239">
        <v>4966</v>
      </c>
      <c r="E1137" s="20"/>
      <c r="F1137" s="216"/>
    </row>
    <row r="1138" spans="4:6">
      <c r="D1138" s="239">
        <v>4971</v>
      </c>
      <c r="E1138" s="20"/>
      <c r="F1138" s="216"/>
    </row>
    <row r="1139" spans="4:6">
      <c r="D1139" s="239">
        <v>4972</v>
      </c>
      <c r="E1139" s="20"/>
      <c r="F1139" s="216"/>
    </row>
    <row r="1140" spans="4:6">
      <c r="D1140" s="239">
        <v>4973</v>
      </c>
      <c r="E1140" s="20"/>
      <c r="F1140" s="216"/>
    </row>
    <row r="1141" spans="4:6">
      <c r="D1141" s="239">
        <v>4974</v>
      </c>
      <c r="E1141" s="20"/>
      <c r="F1141" s="216"/>
    </row>
    <row r="1142" spans="4:6">
      <c r="D1142" s="239">
        <v>4979</v>
      </c>
      <c r="E1142" s="20"/>
      <c r="F1142" s="216"/>
    </row>
    <row r="1143" spans="4:6">
      <c r="D1143" s="239">
        <v>4987</v>
      </c>
      <c r="E1143" s="20"/>
      <c r="F1143" s="216"/>
    </row>
    <row r="1144" spans="4:6">
      <c r="D1144" s="239">
        <v>4991</v>
      </c>
      <c r="E1144" s="20"/>
      <c r="F1144" s="216"/>
    </row>
    <row r="1145" spans="4:6">
      <c r="D1145" s="239">
        <v>4995</v>
      </c>
      <c r="E1145" s="20"/>
      <c r="F1145" s="216"/>
    </row>
    <row r="1146" spans="4:6">
      <c r="D1146" s="239">
        <v>5009</v>
      </c>
      <c r="E1146" s="20"/>
      <c r="F1146" s="216"/>
    </row>
    <row r="1147" spans="4:6">
      <c r="D1147" s="239">
        <v>5011</v>
      </c>
      <c r="E1147" s="20"/>
      <c r="F1147" s="216"/>
    </row>
    <row r="1148" spans="4:6">
      <c r="D1148" s="239">
        <v>5013</v>
      </c>
      <c r="E1148" s="20"/>
      <c r="F1148" s="216"/>
    </row>
    <row r="1149" spans="4:6">
      <c r="D1149" s="239">
        <v>5014</v>
      </c>
      <c r="E1149" s="20"/>
      <c r="F1149" s="216"/>
    </row>
    <row r="1150" spans="4:6">
      <c r="D1150" s="239">
        <v>5015</v>
      </c>
      <c r="E1150" s="20"/>
      <c r="F1150" s="216"/>
    </row>
    <row r="1151" spans="4:6">
      <c r="D1151" s="239">
        <v>5016</v>
      </c>
      <c r="E1151" s="20"/>
      <c r="F1151" s="216"/>
    </row>
    <row r="1152" spans="4:6">
      <c r="D1152" s="239">
        <v>5102</v>
      </c>
      <c r="E1152" s="20"/>
      <c r="F1152" s="216"/>
    </row>
    <row r="1153" spans="4:6">
      <c r="D1153" s="239">
        <v>5201</v>
      </c>
      <c r="E1153" s="20"/>
      <c r="F1153" s="216"/>
    </row>
    <row r="1154" spans="4:6">
      <c r="D1154" s="239">
        <v>5202</v>
      </c>
      <c r="E1154" s="20"/>
      <c r="F1154" s="216"/>
    </row>
    <row r="1155" spans="4:6">
      <c r="D1155" s="239">
        <v>5205</v>
      </c>
      <c r="E1155" s="20"/>
      <c r="F1155" s="216"/>
    </row>
    <row r="1156" spans="4:6">
      <c r="D1156" s="239">
        <v>5206</v>
      </c>
      <c r="E1156" s="20"/>
      <c r="F1156" s="216"/>
    </row>
    <row r="1157" spans="4:6">
      <c r="D1157" s="239">
        <v>5209</v>
      </c>
      <c r="E1157" s="20"/>
      <c r="F1157" s="216"/>
    </row>
    <row r="1158" spans="4:6">
      <c r="D1158" s="239">
        <v>5210</v>
      </c>
      <c r="E1158" s="20"/>
      <c r="F1158" s="216"/>
    </row>
    <row r="1159" spans="4:6">
      <c r="D1159" s="239">
        <v>5211</v>
      </c>
      <c r="E1159" s="20"/>
      <c r="F1159" s="216"/>
    </row>
    <row r="1160" spans="4:6">
      <c r="D1160" s="239">
        <v>5212</v>
      </c>
      <c r="E1160" s="20"/>
      <c r="F1160" s="216"/>
    </row>
    <row r="1161" spans="4:6">
      <c r="D1161" s="239">
        <v>5213</v>
      </c>
      <c r="E1161" s="20"/>
      <c r="F1161" s="216"/>
    </row>
    <row r="1162" spans="4:6">
      <c r="D1162" s="239">
        <v>5227</v>
      </c>
      <c r="E1162" s="20"/>
      <c r="F1162" s="216"/>
    </row>
    <row r="1163" spans="4:6">
      <c r="D1163" s="239">
        <v>5230</v>
      </c>
      <c r="E1163" s="20"/>
      <c r="F1163" s="216"/>
    </row>
    <row r="1164" spans="4:6">
      <c r="D1164" s="239">
        <v>5245</v>
      </c>
      <c r="E1164" s="20"/>
      <c r="F1164" s="216"/>
    </row>
    <row r="1165" spans="4:6">
      <c r="D1165" s="239">
        <v>5251</v>
      </c>
      <c r="E1165" s="20"/>
      <c r="F1165" s="216"/>
    </row>
    <row r="1166" spans="4:6">
      <c r="D1166" s="239">
        <v>5255</v>
      </c>
      <c r="E1166" s="20"/>
      <c r="F1166" s="216"/>
    </row>
    <row r="1167" spans="4:6">
      <c r="D1167" s="239">
        <v>5263</v>
      </c>
      <c r="E1167" s="20"/>
      <c r="F1167" s="216"/>
    </row>
    <row r="1168" spans="4:6">
      <c r="D1168" s="239">
        <v>5266</v>
      </c>
      <c r="E1168" s="20"/>
      <c r="F1168" s="216"/>
    </row>
    <row r="1169" spans="4:6">
      <c r="D1169" s="239">
        <v>5272</v>
      </c>
      <c r="E1169" s="20"/>
      <c r="F1169" s="216"/>
    </row>
    <row r="1170" spans="4:6">
      <c r="D1170" s="239">
        <v>5274</v>
      </c>
      <c r="E1170" s="20"/>
      <c r="F1170" s="216"/>
    </row>
    <row r="1171" spans="4:6">
      <c r="D1171" s="239">
        <v>5276</v>
      </c>
      <c r="E1171" s="20"/>
      <c r="F1171" s="216"/>
    </row>
    <row r="1172" spans="4:6">
      <c r="D1172" s="239">
        <v>5278</v>
      </c>
      <c r="E1172" s="20"/>
      <c r="F1172" s="216"/>
    </row>
    <row r="1173" spans="4:6">
      <c r="D1173" s="239">
        <v>5284</v>
      </c>
      <c r="E1173" s="20"/>
      <c r="F1173" s="216"/>
    </row>
    <row r="1174" spans="4:6">
      <c r="D1174" s="239">
        <v>5287</v>
      </c>
      <c r="E1174" s="20"/>
      <c r="F1174" s="216"/>
    </row>
    <row r="1175" spans="4:6">
      <c r="D1175" s="239">
        <v>5289</v>
      </c>
      <c r="E1175" s="20"/>
      <c r="F1175" s="216"/>
    </row>
    <row r="1176" spans="4:6">
      <c r="D1176" s="239">
        <v>5291</v>
      </c>
      <c r="E1176" s="20"/>
      <c r="F1176" s="216"/>
    </row>
    <row r="1177" spans="4:6">
      <c r="D1177" s="239">
        <v>5301</v>
      </c>
      <c r="E1177" s="20"/>
      <c r="F1177" s="216"/>
    </row>
    <row r="1178" spans="4:6">
      <c r="D1178" s="239">
        <v>5302</v>
      </c>
      <c r="E1178" s="20"/>
      <c r="F1178" s="216"/>
    </row>
    <row r="1179" spans="4:6">
      <c r="D1179" s="239">
        <v>5304</v>
      </c>
      <c r="E1179" s="20"/>
      <c r="F1179" s="216"/>
    </row>
    <row r="1180" spans="4:6">
      <c r="D1180" s="239">
        <v>5306</v>
      </c>
      <c r="E1180" s="20"/>
      <c r="F1180" s="216"/>
    </row>
    <row r="1181" spans="4:6">
      <c r="D1181" s="239">
        <v>5309</v>
      </c>
      <c r="E1181" s="20"/>
      <c r="F1181" s="216"/>
    </row>
    <row r="1182" spans="4:6">
      <c r="D1182" s="239">
        <v>5310</v>
      </c>
      <c r="E1182" s="20"/>
      <c r="F1182" s="216"/>
    </row>
    <row r="1183" spans="4:6">
      <c r="D1183" s="239">
        <v>5312</v>
      </c>
      <c r="E1183" s="20"/>
      <c r="F1183" s="216"/>
    </row>
    <row r="1184" spans="4:6">
      <c r="D1184" s="239">
        <v>5314</v>
      </c>
      <c r="E1184" s="20"/>
      <c r="F1184" s="216"/>
    </row>
    <row r="1185" spans="4:6">
      <c r="D1185" s="239">
        <v>5315</v>
      </c>
      <c r="E1185" s="20"/>
      <c r="F1185" s="216"/>
    </row>
    <row r="1186" spans="4:6">
      <c r="D1186" s="239">
        <v>5317</v>
      </c>
      <c r="E1186" s="20"/>
      <c r="F1186" s="216"/>
    </row>
    <row r="1187" spans="4:6">
      <c r="D1187" s="239">
        <v>5321</v>
      </c>
      <c r="E1187" s="20"/>
      <c r="F1187" s="216"/>
    </row>
    <row r="1188" spans="4:6">
      <c r="D1188" s="239">
        <v>5324</v>
      </c>
      <c r="E1188" s="20"/>
      <c r="F1188" s="216"/>
    </row>
    <row r="1189" spans="4:6">
      <c r="D1189" s="239">
        <v>5328</v>
      </c>
      <c r="E1189" s="20"/>
      <c r="F1189" s="216"/>
    </row>
    <row r="1190" spans="4:6">
      <c r="D1190" s="239">
        <v>5340</v>
      </c>
      <c r="E1190" s="20"/>
      <c r="F1190" s="216"/>
    </row>
    <row r="1191" spans="4:6">
      <c r="D1191" s="239">
        <v>5344</v>
      </c>
      <c r="E1191" s="20"/>
      <c r="F1191" s="216"/>
    </row>
    <row r="1192" spans="4:6">
      <c r="D1192" s="239">
        <v>5345</v>
      </c>
      <c r="E1192" s="20"/>
      <c r="F1192" s="216"/>
    </row>
    <row r="1193" spans="4:6">
      <c r="D1193" s="239">
        <v>5347</v>
      </c>
      <c r="E1193" s="20"/>
      <c r="F1193" s="216"/>
    </row>
    <row r="1194" spans="4:6">
      <c r="D1194" s="239">
        <v>5348</v>
      </c>
      <c r="E1194" s="20"/>
      <c r="F1194" s="216"/>
    </row>
    <row r="1195" spans="4:6">
      <c r="D1195" s="239">
        <v>5349</v>
      </c>
      <c r="E1195" s="20"/>
      <c r="F1195" s="216"/>
    </row>
    <row r="1196" spans="4:6">
      <c r="D1196" s="239">
        <v>5351</v>
      </c>
      <c r="E1196" s="20"/>
      <c r="F1196" s="216"/>
    </row>
    <row r="1197" spans="4:6">
      <c r="D1197" s="239">
        <v>5353</v>
      </c>
      <c r="E1197" s="20"/>
      <c r="F1197" s="216"/>
    </row>
    <row r="1198" spans="4:6">
      <c r="D1198" s="239">
        <v>5355</v>
      </c>
      <c r="E1198" s="20"/>
      <c r="F1198" s="216"/>
    </row>
    <row r="1199" spans="4:6">
      <c r="D1199" s="239">
        <v>5356</v>
      </c>
      <c r="E1199" s="20"/>
      <c r="F1199" s="216"/>
    </row>
    <row r="1200" spans="4:6">
      <c r="D1200" s="239">
        <v>5364</v>
      </c>
      <c r="E1200" s="20"/>
      <c r="F1200" s="216"/>
    </row>
    <row r="1201" spans="4:6">
      <c r="D1201" s="239">
        <v>5371</v>
      </c>
      <c r="E1201" s="20"/>
      <c r="F1201" s="216"/>
    </row>
    <row r="1202" spans="4:6">
      <c r="D1202" s="239">
        <v>5381</v>
      </c>
      <c r="E1202" s="20"/>
      <c r="F1202" s="216"/>
    </row>
    <row r="1203" spans="4:6">
      <c r="D1203" s="239">
        <v>5383</v>
      </c>
      <c r="E1203" s="20"/>
      <c r="F1203" s="216"/>
    </row>
    <row r="1204" spans="4:6">
      <c r="D1204" s="239">
        <v>5384</v>
      </c>
      <c r="E1204" s="20"/>
      <c r="F1204" s="216"/>
    </row>
    <row r="1205" spans="4:6">
      <c r="D1205" s="239">
        <v>5386</v>
      </c>
      <c r="E1205" s="20"/>
      <c r="F1205" s="216"/>
    </row>
    <row r="1206" spans="4:6">
      <c r="D1206" s="239">
        <v>5392</v>
      </c>
      <c r="E1206" s="20"/>
      <c r="F1206" s="216"/>
    </row>
    <row r="1207" spans="4:6">
      <c r="D1207" s="239">
        <v>5395</v>
      </c>
      <c r="E1207" s="20"/>
      <c r="F1207" s="216"/>
    </row>
    <row r="1208" spans="4:6">
      <c r="D1208" s="239">
        <v>5398</v>
      </c>
      <c r="E1208" s="20"/>
      <c r="F1208" s="216"/>
    </row>
    <row r="1209" spans="4:6">
      <c r="D1209" s="239">
        <v>5403</v>
      </c>
      <c r="E1209" s="20"/>
      <c r="F1209" s="216"/>
    </row>
    <row r="1210" spans="4:6">
      <c r="D1210" s="239">
        <v>5410</v>
      </c>
      <c r="E1210" s="20"/>
      <c r="F1210" s="216"/>
    </row>
    <row r="1211" spans="4:6">
      <c r="D1211" s="239">
        <v>5425</v>
      </c>
      <c r="E1211" s="20"/>
      <c r="F1211" s="216"/>
    </row>
    <row r="1212" spans="4:6">
      <c r="D1212" s="239">
        <v>5426</v>
      </c>
      <c r="E1212" s="20"/>
      <c r="F1212" s="216"/>
    </row>
    <row r="1213" spans="4:6">
      <c r="D1213" s="239">
        <v>5432</v>
      </c>
      <c r="E1213" s="20"/>
      <c r="F1213" s="216"/>
    </row>
    <row r="1214" spans="4:6">
      <c r="D1214" s="239">
        <v>5438</v>
      </c>
      <c r="E1214" s="20"/>
      <c r="F1214" s="216"/>
    </row>
    <row r="1215" spans="4:6">
      <c r="D1215" s="239">
        <v>5439</v>
      </c>
      <c r="E1215" s="20"/>
      <c r="F1215" s="216"/>
    </row>
    <row r="1216" spans="4:6">
      <c r="D1216" s="239">
        <v>5443</v>
      </c>
      <c r="E1216" s="20"/>
      <c r="F1216" s="216"/>
    </row>
    <row r="1217" spans="4:6">
      <c r="D1217" s="239">
        <v>5450</v>
      </c>
      <c r="E1217" s="20"/>
      <c r="F1217" s="216"/>
    </row>
    <row r="1218" spans="4:6">
      <c r="D1218" s="239">
        <v>5452</v>
      </c>
      <c r="E1218" s="20"/>
      <c r="F1218" s="216"/>
    </row>
    <row r="1219" spans="4:6">
      <c r="D1219" s="239">
        <v>5455</v>
      </c>
      <c r="E1219" s="20"/>
      <c r="F1219" s="216"/>
    </row>
    <row r="1220" spans="4:6">
      <c r="D1220" s="239">
        <v>5457</v>
      </c>
      <c r="E1220" s="20"/>
      <c r="F1220" s="216"/>
    </row>
    <row r="1221" spans="4:6">
      <c r="D1221" s="239">
        <v>5460</v>
      </c>
      <c r="E1221" s="20"/>
      <c r="F1221" s="216"/>
    </row>
    <row r="1222" spans="4:6">
      <c r="D1222" s="239">
        <v>5464</v>
      </c>
      <c r="E1222" s="20"/>
      <c r="F1222" s="216"/>
    </row>
    <row r="1223" spans="4:6">
      <c r="D1223" s="239">
        <v>5465</v>
      </c>
      <c r="E1223" s="20"/>
      <c r="F1223" s="216"/>
    </row>
    <row r="1224" spans="4:6">
      <c r="D1224" s="239">
        <v>5468</v>
      </c>
      <c r="E1224" s="20"/>
      <c r="F1224" s="216"/>
    </row>
    <row r="1225" spans="4:6">
      <c r="D1225" s="239">
        <v>5474</v>
      </c>
      <c r="E1225" s="20"/>
      <c r="F1225" s="216"/>
    </row>
    <row r="1226" spans="4:6">
      <c r="D1226" s="239">
        <v>5475</v>
      </c>
      <c r="E1226" s="20"/>
      <c r="F1226" s="216"/>
    </row>
    <row r="1227" spans="4:6">
      <c r="D1227" s="239">
        <v>5478</v>
      </c>
      <c r="E1227" s="20"/>
      <c r="F1227" s="216"/>
    </row>
    <row r="1228" spans="4:6">
      <c r="D1228" s="239">
        <v>5480</v>
      </c>
      <c r="E1228" s="20"/>
      <c r="F1228" s="216"/>
    </row>
    <row r="1229" spans="4:6">
      <c r="D1229" s="239">
        <v>5481</v>
      </c>
      <c r="E1229" s="20"/>
      <c r="F1229" s="216"/>
    </row>
    <row r="1230" spans="4:6">
      <c r="D1230" s="239">
        <v>5483</v>
      </c>
      <c r="E1230" s="20"/>
      <c r="F1230" s="216"/>
    </row>
    <row r="1231" spans="4:6">
      <c r="D1231" s="239">
        <v>5487</v>
      </c>
      <c r="E1231" s="20"/>
      <c r="F1231" s="216"/>
    </row>
    <row r="1232" spans="4:6">
      <c r="D1232" s="239">
        <v>5488</v>
      </c>
      <c r="E1232" s="20"/>
      <c r="F1232" s="216"/>
    </row>
    <row r="1233" spans="4:6">
      <c r="D1233" s="239">
        <v>5489</v>
      </c>
      <c r="E1233" s="20"/>
      <c r="F1233" s="216"/>
    </row>
    <row r="1234" spans="4:6">
      <c r="D1234" s="239">
        <v>5490</v>
      </c>
      <c r="E1234" s="20"/>
      <c r="F1234" s="216"/>
    </row>
    <row r="1235" spans="4:6">
      <c r="D1235" s="239">
        <v>5491</v>
      </c>
      <c r="E1235" s="20"/>
      <c r="F1235" s="216"/>
    </row>
    <row r="1236" spans="4:6">
      <c r="D1236" s="239">
        <v>5493</v>
      </c>
      <c r="E1236" s="20"/>
      <c r="F1236" s="216"/>
    </row>
    <row r="1237" spans="4:6">
      <c r="D1237" s="239">
        <v>5498</v>
      </c>
      <c r="E1237" s="20"/>
      <c r="F1237" s="216"/>
    </row>
    <row r="1238" spans="4:6">
      <c r="D1238" s="239">
        <v>5506</v>
      </c>
      <c r="E1238" s="20"/>
      <c r="F1238" s="216"/>
    </row>
    <row r="1239" spans="4:6">
      <c r="D1239" s="239">
        <v>5508</v>
      </c>
      <c r="E1239" s="20"/>
      <c r="F1239" s="216"/>
    </row>
    <row r="1240" spans="4:6">
      <c r="D1240" s="239">
        <v>5511</v>
      </c>
      <c r="E1240" s="20"/>
      <c r="F1240" s="216"/>
    </row>
    <row r="1241" spans="4:6">
      <c r="D1241" s="239">
        <v>5512</v>
      </c>
      <c r="E1241" s="20"/>
      <c r="F1241" s="216"/>
    </row>
    <row r="1242" spans="4:6">
      <c r="D1242" s="239">
        <v>5514</v>
      </c>
      <c r="E1242" s="20"/>
      <c r="F1242" s="216"/>
    </row>
    <row r="1243" spans="4:6">
      <c r="D1243" s="239">
        <v>5516</v>
      </c>
      <c r="E1243" s="20"/>
      <c r="F1243" s="216"/>
    </row>
    <row r="1244" spans="4:6">
      <c r="D1244" s="239">
        <v>5520</v>
      </c>
      <c r="E1244" s="20"/>
      <c r="F1244" s="216"/>
    </row>
    <row r="1245" spans="4:6">
      <c r="D1245" s="239">
        <v>5523</v>
      </c>
      <c r="E1245" s="20"/>
      <c r="F1245" s="216"/>
    </row>
    <row r="1246" spans="4:6">
      <c r="D1246" s="239">
        <v>5529</v>
      </c>
      <c r="E1246" s="20"/>
      <c r="F1246" s="216"/>
    </row>
    <row r="1247" spans="4:6">
      <c r="D1247" s="239">
        <v>5530</v>
      </c>
      <c r="E1247" s="20"/>
      <c r="F1247" s="216"/>
    </row>
    <row r="1248" spans="4:6">
      <c r="D1248" s="239">
        <v>5536</v>
      </c>
      <c r="E1248" s="20"/>
      <c r="F1248" s="216"/>
    </row>
    <row r="1249" spans="4:6">
      <c r="D1249" s="239">
        <v>5601</v>
      </c>
      <c r="E1249" s="20"/>
      <c r="F1249" s="216"/>
    </row>
    <row r="1250" spans="4:6">
      <c r="D1250" s="239">
        <v>5603</v>
      </c>
      <c r="E1250" s="20"/>
      <c r="F1250" s="216"/>
    </row>
    <row r="1251" spans="4:6">
      <c r="D1251" s="239">
        <v>5604</v>
      </c>
      <c r="E1251" s="20"/>
      <c r="F1251" s="216"/>
    </row>
    <row r="1252" spans="4:6">
      <c r="D1252" s="239">
        <v>5609</v>
      </c>
      <c r="E1252" s="20"/>
      <c r="F1252" s="216"/>
    </row>
    <row r="1253" spans="4:6">
      <c r="D1253" s="239">
        <v>5701</v>
      </c>
      <c r="E1253" s="20"/>
      <c r="F1253" s="216"/>
    </row>
    <row r="1254" spans="4:6">
      <c r="D1254" s="239">
        <v>5703</v>
      </c>
      <c r="E1254" s="20"/>
      <c r="F1254" s="216"/>
    </row>
    <row r="1255" spans="4:6">
      <c r="D1255" s="239">
        <v>5704</v>
      </c>
      <c r="E1255" s="20"/>
      <c r="F1255" s="216"/>
    </row>
    <row r="1256" spans="4:6">
      <c r="D1256" s="239">
        <v>5878</v>
      </c>
      <c r="E1256" s="20"/>
      <c r="F1256" s="216"/>
    </row>
    <row r="1257" spans="4:6">
      <c r="D1257" s="239">
        <v>5902</v>
      </c>
      <c r="E1257" s="20"/>
      <c r="F1257" s="216"/>
    </row>
    <row r="1258" spans="4:6">
      <c r="D1258" s="239">
        <v>5903</v>
      </c>
      <c r="E1258" s="20"/>
      <c r="F1258" s="216"/>
    </row>
    <row r="1259" spans="4:6">
      <c r="D1259" s="239">
        <v>5904</v>
      </c>
      <c r="E1259" s="20"/>
      <c r="F1259" s="216"/>
    </row>
    <row r="1260" spans="4:6">
      <c r="D1260" s="239">
        <v>5905</v>
      </c>
      <c r="E1260" s="20"/>
      <c r="F1260" s="216"/>
    </row>
    <row r="1261" spans="4:6">
      <c r="D1261" s="239">
        <v>6101</v>
      </c>
      <c r="E1261" s="20"/>
      <c r="F1261" s="216"/>
    </row>
    <row r="1262" spans="4:6">
      <c r="D1262" s="239">
        <v>6103</v>
      </c>
      <c r="E1262" s="20"/>
      <c r="F1262" s="216"/>
    </row>
    <row r="1263" spans="4:6">
      <c r="D1263" s="239">
        <v>6104</v>
      </c>
      <c r="E1263" s="20"/>
      <c r="F1263" s="216"/>
    </row>
    <row r="1264" spans="4:6">
      <c r="D1264" s="239">
        <v>6105</v>
      </c>
      <c r="E1264" s="20"/>
      <c r="F1264" s="216"/>
    </row>
    <row r="1265" spans="4:6">
      <c r="D1265" s="239">
        <v>6107</v>
      </c>
      <c r="E1265" s="20"/>
      <c r="F1265" s="216"/>
    </row>
    <row r="1266" spans="4:6">
      <c r="D1266" s="239">
        <v>6109</v>
      </c>
      <c r="E1266" s="20"/>
      <c r="F1266" s="216"/>
    </row>
    <row r="1267" spans="4:6">
      <c r="D1267" s="239">
        <v>6111</v>
      </c>
      <c r="E1267" s="20"/>
      <c r="F1267" s="216"/>
    </row>
    <row r="1268" spans="4:6">
      <c r="D1268" s="239">
        <v>6113</v>
      </c>
      <c r="E1268" s="20"/>
      <c r="F1268" s="216"/>
    </row>
    <row r="1269" spans="4:6">
      <c r="D1269" s="239">
        <v>6114</v>
      </c>
      <c r="E1269" s="20"/>
      <c r="F1269" s="216"/>
    </row>
    <row r="1270" spans="4:6">
      <c r="D1270" s="239">
        <v>6118</v>
      </c>
      <c r="E1270" s="20"/>
      <c r="F1270" s="216"/>
    </row>
    <row r="1271" spans="4:6">
      <c r="D1271" s="239">
        <v>6121</v>
      </c>
      <c r="E1271" s="20"/>
      <c r="F1271" s="216"/>
    </row>
    <row r="1272" spans="4:6">
      <c r="D1272" s="239">
        <v>6122</v>
      </c>
      <c r="E1272" s="20"/>
      <c r="F1272" s="216"/>
    </row>
    <row r="1273" spans="4:6">
      <c r="D1273" s="239">
        <v>6123</v>
      </c>
      <c r="E1273" s="20"/>
      <c r="F1273" s="216"/>
    </row>
    <row r="1274" spans="4:6">
      <c r="D1274" s="239">
        <v>6124</v>
      </c>
      <c r="E1274" s="20"/>
      <c r="F1274" s="216"/>
    </row>
    <row r="1275" spans="4:6">
      <c r="D1275" s="239">
        <v>6125</v>
      </c>
      <c r="E1275" s="20"/>
      <c r="F1275" s="216"/>
    </row>
    <row r="1276" spans="4:6">
      <c r="D1276" s="239">
        <v>6126</v>
      </c>
      <c r="E1276" s="20"/>
      <c r="F1276" s="216"/>
    </row>
    <row r="1277" spans="4:6">
      <c r="D1277" s="239">
        <v>6127</v>
      </c>
      <c r="E1277" s="20"/>
      <c r="F1277" s="216"/>
    </row>
    <row r="1278" spans="4:6">
      <c r="D1278" s="239">
        <v>6129</v>
      </c>
      <c r="E1278" s="20"/>
      <c r="F1278" s="216"/>
    </row>
    <row r="1279" spans="4:6">
      <c r="D1279" s="239">
        <v>6130</v>
      </c>
      <c r="E1279" s="20"/>
      <c r="F1279" s="216"/>
    </row>
    <row r="1280" spans="4:6">
      <c r="D1280" s="239">
        <v>6134</v>
      </c>
      <c r="E1280" s="20"/>
      <c r="F1280" s="216"/>
    </row>
    <row r="1281" spans="4:6">
      <c r="D1281" s="239">
        <v>6138</v>
      </c>
      <c r="E1281" s="20"/>
      <c r="F1281" s="216"/>
    </row>
    <row r="1282" spans="4:6">
      <c r="D1282" s="239">
        <v>6140</v>
      </c>
      <c r="E1282" s="20"/>
      <c r="F1282" s="216"/>
    </row>
    <row r="1283" spans="4:6">
      <c r="D1283" s="239">
        <v>6143</v>
      </c>
      <c r="E1283" s="20"/>
      <c r="F1283" s="216"/>
    </row>
    <row r="1284" spans="4:6">
      <c r="D1284" s="239">
        <v>6144</v>
      </c>
      <c r="E1284" s="20"/>
      <c r="F1284" s="216"/>
    </row>
    <row r="1285" spans="4:6">
      <c r="D1285" s="239">
        <v>6146</v>
      </c>
      <c r="E1285" s="20"/>
      <c r="F1285" s="216"/>
    </row>
    <row r="1286" spans="4:6">
      <c r="D1286" s="239">
        <v>6147</v>
      </c>
      <c r="E1286" s="20"/>
      <c r="F1286" s="216"/>
    </row>
    <row r="1287" spans="4:6">
      <c r="D1287" s="239">
        <v>6148</v>
      </c>
      <c r="E1287" s="20"/>
      <c r="F1287" s="216"/>
    </row>
    <row r="1288" spans="4:6">
      <c r="D1288" s="239">
        <v>6150</v>
      </c>
      <c r="E1288" s="20"/>
      <c r="F1288" s="216"/>
    </row>
    <row r="1289" spans="4:6">
      <c r="D1289" s="239">
        <v>6151</v>
      </c>
      <c r="E1289" s="20"/>
      <c r="F1289" s="216"/>
    </row>
    <row r="1290" spans="4:6">
      <c r="D1290" s="239">
        <v>6154</v>
      </c>
      <c r="E1290" s="20"/>
      <c r="F1290" s="216"/>
    </row>
    <row r="1291" spans="4:6">
      <c r="D1291" s="239">
        <v>6156</v>
      </c>
      <c r="E1291" s="20"/>
      <c r="F1291" s="216"/>
    </row>
    <row r="1292" spans="4:6">
      <c r="D1292" s="239">
        <v>6158</v>
      </c>
      <c r="E1292" s="20"/>
      <c r="F1292" s="216"/>
    </row>
    <row r="1293" spans="4:6">
      <c r="D1293" s="239">
        <v>6160</v>
      </c>
      <c r="E1293" s="20"/>
      <c r="F1293" s="216"/>
    </row>
    <row r="1294" spans="4:6">
      <c r="D1294" s="239">
        <v>6161</v>
      </c>
      <c r="E1294" s="20"/>
      <c r="F1294" s="216"/>
    </row>
    <row r="1295" spans="4:6">
      <c r="D1295" s="239">
        <v>6163</v>
      </c>
      <c r="E1295" s="20"/>
      <c r="F1295" s="216"/>
    </row>
    <row r="1296" spans="4:6">
      <c r="D1296" s="239">
        <v>6167</v>
      </c>
      <c r="E1296" s="20"/>
      <c r="F1296" s="216"/>
    </row>
    <row r="1297" spans="4:6">
      <c r="D1297" s="239">
        <v>6169</v>
      </c>
      <c r="E1297" s="20"/>
      <c r="F1297" s="216"/>
    </row>
    <row r="1298" spans="4:6">
      <c r="D1298" s="239">
        <v>6170</v>
      </c>
      <c r="E1298" s="20"/>
      <c r="F1298" s="216"/>
    </row>
    <row r="1299" spans="4:6">
      <c r="D1299" s="239">
        <v>6171</v>
      </c>
      <c r="E1299" s="20"/>
      <c r="F1299" s="216"/>
    </row>
    <row r="1300" spans="4:6">
      <c r="D1300" s="239">
        <v>6173</v>
      </c>
      <c r="E1300" s="20"/>
      <c r="F1300" s="216"/>
    </row>
    <row r="1301" spans="4:6">
      <c r="D1301" s="239">
        <v>6174</v>
      </c>
      <c r="E1301" s="20"/>
      <c r="F1301" s="216"/>
    </row>
    <row r="1302" spans="4:6">
      <c r="D1302" s="239">
        <v>6175</v>
      </c>
      <c r="E1302" s="20"/>
      <c r="F1302" s="216"/>
    </row>
    <row r="1303" spans="4:6">
      <c r="D1303" s="239">
        <v>6179</v>
      </c>
      <c r="E1303" s="20"/>
      <c r="F1303" s="216"/>
    </row>
    <row r="1304" spans="4:6">
      <c r="D1304" s="239">
        <v>6180</v>
      </c>
      <c r="E1304" s="20"/>
      <c r="F1304" s="216"/>
    </row>
    <row r="1305" spans="4:6">
      <c r="D1305" s="239">
        <v>6182</v>
      </c>
      <c r="E1305" s="20"/>
      <c r="F1305" s="216"/>
    </row>
    <row r="1306" spans="4:6">
      <c r="D1306" s="239">
        <v>6185</v>
      </c>
      <c r="E1306" s="20"/>
      <c r="F1306" s="216"/>
    </row>
    <row r="1307" spans="4:6">
      <c r="D1307" s="239">
        <v>6186</v>
      </c>
      <c r="E1307" s="20"/>
      <c r="F1307" s="216"/>
    </row>
    <row r="1308" spans="4:6">
      <c r="D1308" s="239">
        <v>6187</v>
      </c>
      <c r="E1308" s="20"/>
      <c r="F1308" s="216"/>
    </row>
    <row r="1309" spans="4:6">
      <c r="D1309" s="239">
        <v>6188</v>
      </c>
      <c r="E1309" s="20"/>
      <c r="F1309" s="216"/>
    </row>
    <row r="1310" spans="4:6">
      <c r="D1310" s="239">
        <v>6190</v>
      </c>
      <c r="E1310" s="20"/>
      <c r="F1310" s="216"/>
    </row>
    <row r="1311" spans="4:6">
      <c r="D1311" s="239">
        <v>6194</v>
      </c>
      <c r="E1311" s="20"/>
      <c r="F1311" s="216"/>
    </row>
    <row r="1312" spans="4:6">
      <c r="D1312" s="239">
        <v>6195</v>
      </c>
      <c r="E1312" s="20"/>
      <c r="F1312" s="216"/>
    </row>
    <row r="1313" spans="4:6">
      <c r="D1313" s="239">
        <v>6198</v>
      </c>
      <c r="E1313" s="20"/>
      <c r="F1313" s="216"/>
    </row>
    <row r="1314" spans="4:6">
      <c r="D1314" s="239">
        <v>6199</v>
      </c>
      <c r="E1314" s="20"/>
      <c r="F1314" s="216"/>
    </row>
    <row r="1315" spans="4:6">
      <c r="D1315" s="239">
        <v>6203</v>
      </c>
      <c r="E1315" s="20"/>
      <c r="F1315" s="216"/>
    </row>
    <row r="1316" spans="4:6">
      <c r="D1316" s="239">
        <v>6204</v>
      </c>
      <c r="E1316" s="20"/>
      <c r="F1316" s="216"/>
    </row>
    <row r="1317" spans="4:6">
      <c r="D1317" s="239">
        <v>6207</v>
      </c>
      <c r="E1317" s="20"/>
      <c r="F1317" s="216"/>
    </row>
    <row r="1318" spans="4:6">
      <c r="D1318" s="239">
        <v>6208</v>
      </c>
      <c r="E1318" s="20"/>
      <c r="F1318" s="216"/>
    </row>
    <row r="1319" spans="4:6">
      <c r="D1319" s="239">
        <v>6210</v>
      </c>
      <c r="E1319" s="20"/>
      <c r="F1319" s="216"/>
    </row>
    <row r="1320" spans="4:6">
      <c r="D1320" s="239">
        <v>6211</v>
      </c>
      <c r="E1320" s="20"/>
      <c r="F1320" s="216"/>
    </row>
    <row r="1321" spans="4:6">
      <c r="D1321" s="239">
        <v>6212</v>
      </c>
      <c r="E1321" s="20"/>
      <c r="F1321" s="216"/>
    </row>
    <row r="1322" spans="4:6">
      <c r="D1322" s="239">
        <v>6217</v>
      </c>
      <c r="E1322" s="20"/>
      <c r="F1322" s="216"/>
    </row>
    <row r="1323" spans="4:6">
      <c r="D1323" s="239">
        <v>6218</v>
      </c>
      <c r="E1323" s="20"/>
      <c r="F1323" s="216"/>
    </row>
    <row r="1324" spans="4:6">
      <c r="D1324" s="239">
        <v>6219</v>
      </c>
      <c r="E1324" s="20"/>
      <c r="F1324" s="216"/>
    </row>
    <row r="1325" spans="4:6">
      <c r="D1325" s="239">
        <v>6220</v>
      </c>
      <c r="E1325" s="20"/>
      <c r="F1325" s="216"/>
    </row>
    <row r="1326" spans="4:6">
      <c r="D1326" s="239">
        <v>6221</v>
      </c>
      <c r="E1326" s="20"/>
      <c r="F1326" s="216"/>
    </row>
    <row r="1327" spans="4:6">
      <c r="D1327" s="239">
        <v>6222</v>
      </c>
      <c r="E1327" s="20"/>
      <c r="F1327" s="216"/>
    </row>
    <row r="1328" spans="4:6">
      <c r="D1328" s="239">
        <v>6223</v>
      </c>
      <c r="E1328" s="20"/>
      <c r="F1328" s="216"/>
    </row>
    <row r="1329" spans="4:6">
      <c r="D1329" s="239">
        <v>6227</v>
      </c>
      <c r="E1329" s="20"/>
      <c r="F1329" s="216"/>
    </row>
    <row r="1330" spans="4:6">
      <c r="D1330" s="239">
        <v>6228</v>
      </c>
      <c r="E1330" s="20"/>
      <c r="F1330" s="216"/>
    </row>
    <row r="1331" spans="4:6">
      <c r="D1331" s="239">
        <v>6229</v>
      </c>
      <c r="E1331" s="20"/>
      <c r="F1331" s="216"/>
    </row>
    <row r="1332" spans="4:6">
      <c r="D1332" s="239">
        <v>6231</v>
      </c>
      <c r="E1332" s="20"/>
      <c r="F1332" s="216"/>
    </row>
    <row r="1333" spans="4:6">
      <c r="D1333" s="239">
        <v>6233</v>
      </c>
      <c r="E1333" s="20"/>
      <c r="F1333" s="216"/>
    </row>
    <row r="1334" spans="4:6">
      <c r="D1334" s="239">
        <v>6234</v>
      </c>
      <c r="E1334" s="20"/>
      <c r="F1334" s="216"/>
    </row>
    <row r="1335" spans="4:6">
      <c r="D1335" s="239">
        <v>6236</v>
      </c>
      <c r="E1335" s="20"/>
      <c r="F1335" s="216"/>
    </row>
    <row r="1336" spans="4:6">
      <c r="D1336" s="239">
        <v>6237</v>
      </c>
      <c r="E1336" s="20"/>
      <c r="F1336" s="216"/>
    </row>
    <row r="1337" spans="4:6">
      <c r="D1337" s="239">
        <v>6238</v>
      </c>
      <c r="E1337" s="20"/>
      <c r="F1337" s="216"/>
    </row>
    <row r="1338" spans="4:6">
      <c r="D1338" s="239">
        <v>6240</v>
      </c>
      <c r="E1338" s="20"/>
      <c r="F1338" s="216"/>
    </row>
    <row r="1339" spans="4:6">
      <c r="D1339" s="239">
        <v>6241</v>
      </c>
      <c r="E1339" s="20"/>
      <c r="F1339" s="216"/>
    </row>
    <row r="1340" spans="4:6">
      <c r="D1340" s="239">
        <v>6242</v>
      </c>
      <c r="E1340" s="20"/>
      <c r="F1340" s="216"/>
    </row>
    <row r="1341" spans="4:6">
      <c r="D1341" s="239">
        <v>6244</v>
      </c>
      <c r="E1341" s="20"/>
      <c r="F1341" s="216"/>
    </row>
    <row r="1342" spans="4:6">
      <c r="D1342" s="239">
        <v>6245</v>
      </c>
      <c r="E1342" s="20"/>
      <c r="F1342" s="216"/>
    </row>
    <row r="1343" spans="4:6">
      <c r="D1343" s="239">
        <v>6246</v>
      </c>
      <c r="E1343" s="20"/>
      <c r="F1343" s="216"/>
    </row>
    <row r="1344" spans="4:6">
      <c r="D1344" s="239">
        <v>6247</v>
      </c>
      <c r="E1344" s="20"/>
      <c r="F1344" s="216"/>
    </row>
    <row r="1345" spans="4:6">
      <c r="D1345" s="239">
        <v>6248</v>
      </c>
      <c r="E1345" s="20"/>
      <c r="F1345" s="216"/>
    </row>
    <row r="1346" spans="4:6">
      <c r="D1346" s="239">
        <v>6250</v>
      </c>
      <c r="E1346" s="20"/>
      <c r="F1346" s="216"/>
    </row>
    <row r="1347" spans="4:6">
      <c r="D1347" s="239">
        <v>6259</v>
      </c>
      <c r="E1347" s="20"/>
      <c r="F1347" s="216"/>
    </row>
    <row r="1348" spans="4:6">
      <c r="D1348" s="239">
        <v>6261</v>
      </c>
      <c r="E1348" s="20"/>
      <c r="F1348" s="216"/>
    </row>
    <row r="1349" spans="4:6">
      <c r="D1349" s="239">
        <v>6263</v>
      </c>
      <c r="E1349" s="20"/>
      <c r="F1349" s="216"/>
    </row>
    <row r="1350" spans="4:6">
      <c r="D1350" s="239">
        <v>6264</v>
      </c>
      <c r="E1350" s="20"/>
      <c r="F1350" s="216"/>
    </row>
    <row r="1351" spans="4:6">
      <c r="D1351" s="239">
        <v>6265</v>
      </c>
      <c r="E1351" s="20"/>
      <c r="F1351" s="216"/>
    </row>
    <row r="1352" spans="4:6">
      <c r="D1352" s="239">
        <v>6266</v>
      </c>
      <c r="E1352" s="20"/>
      <c r="F1352" s="216"/>
    </row>
    <row r="1353" spans="4:6">
      <c r="D1353" s="239">
        <v>6270</v>
      </c>
      <c r="E1353" s="20"/>
      <c r="F1353" s="216"/>
    </row>
    <row r="1354" spans="4:6">
      <c r="D1354" s="239">
        <v>6274</v>
      </c>
      <c r="E1354" s="20"/>
      <c r="F1354" s="216"/>
    </row>
    <row r="1355" spans="4:6">
      <c r="D1355" s="239">
        <v>6275</v>
      </c>
      <c r="E1355" s="20"/>
      <c r="F1355" s="216"/>
    </row>
    <row r="1356" spans="4:6">
      <c r="D1356" s="239">
        <v>6276</v>
      </c>
      <c r="E1356" s="20"/>
      <c r="F1356" s="216"/>
    </row>
    <row r="1357" spans="4:6">
      <c r="D1357" s="239">
        <v>6279</v>
      </c>
      <c r="E1357" s="20"/>
      <c r="F1357" s="216"/>
    </row>
    <row r="1358" spans="4:6">
      <c r="D1358" s="239">
        <v>6284</v>
      </c>
      <c r="E1358" s="20"/>
      <c r="F1358" s="216"/>
    </row>
    <row r="1359" spans="4:6">
      <c r="D1359" s="239">
        <v>6287</v>
      </c>
      <c r="E1359" s="20"/>
      <c r="F1359" s="216"/>
    </row>
    <row r="1360" spans="4:6">
      <c r="D1360" s="239">
        <v>6290</v>
      </c>
      <c r="E1360" s="20"/>
      <c r="F1360" s="216"/>
    </row>
    <row r="1361" spans="4:6">
      <c r="D1361" s="239">
        <v>6291</v>
      </c>
      <c r="E1361" s="20"/>
      <c r="F1361" s="216"/>
    </row>
    <row r="1362" spans="4:6">
      <c r="D1362" s="239">
        <v>6292</v>
      </c>
      <c r="E1362" s="20"/>
      <c r="F1362" s="216"/>
    </row>
    <row r="1363" spans="4:6">
      <c r="D1363" s="239">
        <v>6294</v>
      </c>
      <c r="E1363" s="20"/>
      <c r="F1363" s="216"/>
    </row>
    <row r="1364" spans="4:6">
      <c r="D1364" s="239">
        <v>6298</v>
      </c>
      <c r="E1364" s="20"/>
      <c r="F1364" s="216"/>
    </row>
    <row r="1365" spans="4:6">
      <c r="D1365" s="239">
        <v>6404</v>
      </c>
      <c r="E1365" s="20"/>
      <c r="F1365" s="216"/>
    </row>
    <row r="1366" spans="4:6">
      <c r="D1366" s="239">
        <v>6411</v>
      </c>
      <c r="E1366" s="20"/>
      <c r="F1366" s="216"/>
    </row>
    <row r="1367" spans="4:6">
      <c r="D1367" s="239">
        <v>6417</v>
      </c>
      <c r="E1367" s="20"/>
      <c r="F1367" s="216"/>
    </row>
    <row r="1368" spans="4:6">
      <c r="D1368" s="239">
        <v>6419</v>
      </c>
      <c r="E1368" s="20"/>
      <c r="F1368" s="216"/>
    </row>
    <row r="1369" spans="4:6">
      <c r="D1369" s="239">
        <v>6426</v>
      </c>
      <c r="E1369" s="20"/>
      <c r="F1369" s="216"/>
    </row>
    <row r="1370" spans="4:6">
      <c r="D1370" s="239">
        <v>6432</v>
      </c>
      <c r="E1370" s="20"/>
      <c r="F1370" s="216"/>
    </row>
    <row r="1371" spans="4:6">
      <c r="D1371" s="239">
        <v>6457</v>
      </c>
      <c r="E1371" s="20"/>
      <c r="F1371" s="216"/>
    </row>
    <row r="1372" spans="4:6">
      <c r="D1372" s="239">
        <v>6488</v>
      </c>
      <c r="E1372" s="20"/>
      <c r="F1372" s="216"/>
    </row>
    <row r="1373" spans="4:6">
      <c r="D1373" s="239">
        <v>6506</v>
      </c>
      <c r="E1373" s="20"/>
      <c r="F1373" s="216"/>
    </row>
    <row r="1374" spans="4:6">
      <c r="D1374" s="239">
        <v>6508</v>
      </c>
      <c r="E1374" s="20"/>
      <c r="F1374" s="216"/>
    </row>
    <row r="1375" spans="4:6">
      <c r="D1375" s="239">
        <v>6509</v>
      </c>
      <c r="E1375" s="20"/>
      <c r="F1375" s="216"/>
    </row>
    <row r="1376" spans="4:6">
      <c r="D1376" s="239">
        <v>6603</v>
      </c>
      <c r="E1376" s="20"/>
      <c r="F1376" s="216"/>
    </row>
    <row r="1377" spans="4:6">
      <c r="D1377" s="239">
        <v>6609</v>
      </c>
      <c r="E1377" s="20"/>
      <c r="F1377" s="216"/>
    </row>
    <row r="1378" spans="4:6">
      <c r="D1378" s="239">
        <v>6803</v>
      </c>
      <c r="E1378" s="20"/>
      <c r="F1378" s="216"/>
    </row>
    <row r="1379" spans="4:6">
      <c r="D1379" s="239">
        <v>8024</v>
      </c>
      <c r="E1379" s="20"/>
      <c r="F1379" s="216"/>
    </row>
    <row r="1380" spans="4:6">
      <c r="D1380" s="239">
        <v>8027</v>
      </c>
      <c r="E1380" s="20"/>
      <c r="F1380" s="216"/>
    </row>
    <row r="1381" spans="4:6">
      <c r="D1381" s="239">
        <v>8032</v>
      </c>
      <c r="E1381" s="20"/>
      <c r="F1381" s="216"/>
    </row>
    <row r="1382" spans="4:6">
      <c r="D1382" s="239">
        <v>8034</v>
      </c>
      <c r="E1382" s="20"/>
      <c r="F1382" s="216"/>
    </row>
    <row r="1383" spans="4:6">
      <c r="D1383" s="239">
        <v>8038</v>
      </c>
      <c r="E1383" s="20"/>
      <c r="F1383" s="216"/>
    </row>
    <row r="1384" spans="4:6">
      <c r="D1384" s="239">
        <v>8040</v>
      </c>
      <c r="E1384" s="20"/>
      <c r="F1384" s="216"/>
    </row>
    <row r="1385" spans="4:6">
      <c r="D1385" s="239">
        <v>8042</v>
      </c>
      <c r="E1385" s="20"/>
      <c r="F1385" s="216"/>
    </row>
    <row r="1386" spans="4:6">
      <c r="D1386" s="239">
        <v>8043</v>
      </c>
      <c r="E1386" s="20"/>
      <c r="F1386" s="216"/>
    </row>
    <row r="1387" spans="4:6">
      <c r="D1387" s="239">
        <v>8044</v>
      </c>
      <c r="E1387" s="20"/>
      <c r="F1387" s="216"/>
    </row>
    <row r="1388" spans="4:6">
      <c r="D1388" s="239">
        <v>8047</v>
      </c>
      <c r="E1388" s="20"/>
      <c r="F1388" s="216"/>
    </row>
    <row r="1389" spans="4:6">
      <c r="D1389" s="239">
        <v>8048</v>
      </c>
      <c r="E1389" s="20"/>
      <c r="F1389" s="216"/>
    </row>
    <row r="1390" spans="4:6">
      <c r="D1390" s="239">
        <v>8049</v>
      </c>
      <c r="E1390" s="20"/>
      <c r="F1390" s="216"/>
    </row>
    <row r="1391" spans="4:6">
      <c r="D1391" s="239">
        <v>8050</v>
      </c>
      <c r="E1391" s="20"/>
      <c r="F1391" s="216"/>
    </row>
    <row r="1392" spans="4:6">
      <c r="D1392" s="239">
        <v>8053</v>
      </c>
      <c r="E1392" s="20"/>
      <c r="F1392" s="216"/>
    </row>
    <row r="1393" spans="4:6">
      <c r="D1393" s="239">
        <v>8054</v>
      </c>
      <c r="E1393" s="20"/>
      <c r="F1393" s="216"/>
    </row>
    <row r="1394" spans="4:6">
      <c r="D1394" s="239">
        <v>8059</v>
      </c>
      <c r="E1394" s="20"/>
      <c r="F1394" s="216"/>
    </row>
    <row r="1395" spans="4:6">
      <c r="D1395" s="239">
        <v>8064</v>
      </c>
      <c r="E1395" s="20"/>
      <c r="F1395" s="216"/>
    </row>
    <row r="1396" spans="4:6">
      <c r="D1396" s="239">
        <v>8066</v>
      </c>
      <c r="E1396" s="20"/>
      <c r="F1396" s="216"/>
    </row>
    <row r="1397" spans="4:6">
      <c r="D1397" s="239">
        <v>8067</v>
      </c>
      <c r="E1397" s="20"/>
      <c r="F1397" s="216"/>
    </row>
    <row r="1398" spans="4:6">
      <c r="D1398" s="239">
        <v>8068</v>
      </c>
      <c r="E1398" s="20"/>
      <c r="F1398" s="216"/>
    </row>
    <row r="1399" spans="4:6">
      <c r="D1399" s="239">
        <v>8069</v>
      </c>
      <c r="E1399" s="20"/>
      <c r="F1399" s="216"/>
    </row>
    <row r="1400" spans="4:6">
      <c r="D1400" s="239">
        <v>8071</v>
      </c>
      <c r="E1400" s="20"/>
      <c r="F1400" s="216"/>
    </row>
    <row r="1401" spans="4:6">
      <c r="D1401" s="239">
        <v>8074</v>
      </c>
      <c r="E1401" s="20"/>
      <c r="F1401" s="216"/>
    </row>
    <row r="1402" spans="4:6">
      <c r="D1402" s="239">
        <v>8076</v>
      </c>
      <c r="E1402" s="20"/>
      <c r="F1402" s="216"/>
    </row>
    <row r="1403" spans="4:6">
      <c r="D1403" s="239">
        <v>8077</v>
      </c>
      <c r="E1403" s="20"/>
      <c r="F1403" s="216"/>
    </row>
    <row r="1404" spans="4:6">
      <c r="D1404" s="239">
        <v>8079</v>
      </c>
      <c r="E1404" s="20"/>
      <c r="F1404" s="216"/>
    </row>
    <row r="1405" spans="4:6">
      <c r="D1405" s="239">
        <v>8080</v>
      </c>
      <c r="E1405" s="20"/>
      <c r="F1405" s="216"/>
    </row>
    <row r="1406" spans="4:6">
      <c r="D1406" s="239">
        <v>8082</v>
      </c>
      <c r="E1406" s="20"/>
      <c r="F1406" s="216"/>
    </row>
    <row r="1407" spans="4:6">
      <c r="D1407" s="239">
        <v>8083</v>
      </c>
      <c r="E1407" s="20"/>
      <c r="F1407" s="216"/>
    </row>
    <row r="1408" spans="4:6">
      <c r="D1408" s="239">
        <v>8084</v>
      </c>
      <c r="E1408" s="20"/>
      <c r="F1408" s="216"/>
    </row>
    <row r="1409" spans="4:6">
      <c r="D1409" s="239">
        <v>8085</v>
      </c>
      <c r="E1409" s="20"/>
      <c r="F1409" s="216"/>
    </row>
    <row r="1410" spans="4:6">
      <c r="D1410" s="239">
        <v>8086</v>
      </c>
      <c r="E1410" s="20"/>
      <c r="F1410" s="216"/>
    </row>
    <row r="1411" spans="4:6">
      <c r="D1411" s="239">
        <v>8087</v>
      </c>
      <c r="E1411" s="20"/>
      <c r="F1411" s="216"/>
    </row>
    <row r="1412" spans="4:6">
      <c r="D1412" s="239">
        <v>8088</v>
      </c>
      <c r="E1412" s="20"/>
      <c r="F1412" s="216"/>
    </row>
    <row r="1413" spans="4:6">
      <c r="D1413" s="239">
        <v>8091</v>
      </c>
      <c r="E1413" s="20"/>
      <c r="F1413" s="216"/>
    </row>
    <row r="1414" spans="4:6">
      <c r="D1414" s="239">
        <v>8092</v>
      </c>
      <c r="E1414" s="20"/>
      <c r="F1414" s="216"/>
    </row>
    <row r="1415" spans="4:6">
      <c r="D1415" s="239">
        <v>8093</v>
      </c>
      <c r="E1415" s="20"/>
      <c r="F1415" s="216"/>
    </row>
    <row r="1416" spans="4:6">
      <c r="D1416" s="239">
        <v>8096</v>
      </c>
      <c r="E1416" s="20"/>
      <c r="F1416" s="216"/>
    </row>
    <row r="1417" spans="4:6">
      <c r="D1417" s="239">
        <v>8097</v>
      </c>
      <c r="E1417" s="20"/>
      <c r="F1417" s="216"/>
    </row>
    <row r="1418" spans="4:6">
      <c r="D1418" s="239">
        <v>8099</v>
      </c>
      <c r="E1418" s="20"/>
      <c r="F1418" s="216"/>
    </row>
    <row r="1419" spans="4:6">
      <c r="D1419" s="239">
        <v>8107</v>
      </c>
      <c r="E1419" s="20"/>
      <c r="F1419" s="216"/>
    </row>
    <row r="1420" spans="4:6">
      <c r="D1420" s="239">
        <v>8109</v>
      </c>
      <c r="E1420" s="20"/>
      <c r="F1420" s="216"/>
    </row>
    <row r="1421" spans="4:6">
      <c r="D1421" s="239">
        <v>8111</v>
      </c>
      <c r="E1421" s="20"/>
      <c r="F1421" s="216"/>
    </row>
    <row r="1422" spans="4:6">
      <c r="D1422" s="239">
        <v>8121</v>
      </c>
      <c r="E1422" s="20"/>
      <c r="F1422" s="216"/>
    </row>
    <row r="1423" spans="4:6">
      <c r="D1423" s="239">
        <v>8147</v>
      </c>
      <c r="E1423" s="20"/>
      <c r="F1423" s="216"/>
    </row>
    <row r="1424" spans="4:6">
      <c r="D1424" s="239">
        <v>8155</v>
      </c>
      <c r="E1424" s="20"/>
      <c r="F1424" s="216"/>
    </row>
    <row r="1425" spans="4:6">
      <c r="D1425" s="239">
        <v>8171</v>
      </c>
      <c r="E1425" s="20"/>
      <c r="F1425" s="216"/>
    </row>
    <row r="1426" spans="4:6">
      <c r="D1426" s="239">
        <v>8176</v>
      </c>
      <c r="E1426" s="20"/>
      <c r="F1426" s="216"/>
    </row>
    <row r="1427" spans="4:6">
      <c r="D1427" s="239">
        <v>8182</v>
      </c>
      <c r="E1427" s="20"/>
      <c r="F1427" s="216"/>
    </row>
    <row r="1428" spans="4:6">
      <c r="D1428" s="239">
        <v>8183</v>
      </c>
      <c r="E1428" s="20"/>
      <c r="F1428" s="216"/>
    </row>
    <row r="1429" spans="4:6">
      <c r="D1429" s="239">
        <v>8234</v>
      </c>
      <c r="E1429" s="20"/>
      <c r="F1429" s="216"/>
    </row>
    <row r="1430" spans="4:6">
      <c r="D1430" s="239">
        <v>8240</v>
      </c>
      <c r="E1430" s="20"/>
      <c r="F1430" s="216"/>
    </row>
    <row r="1431" spans="4:6">
      <c r="D1431" s="239">
        <v>8255</v>
      </c>
      <c r="E1431" s="20"/>
      <c r="F1431" s="216"/>
    </row>
    <row r="1432" spans="4:6">
      <c r="D1432" s="239">
        <v>8266</v>
      </c>
      <c r="E1432" s="20"/>
      <c r="F1432" s="216"/>
    </row>
    <row r="1433" spans="4:6">
      <c r="D1433" s="239">
        <v>8277</v>
      </c>
      <c r="E1433" s="20"/>
      <c r="F1433" s="216"/>
    </row>
    <row r="1434" spans="4:6">
      <c r="D1434" s="239">
        <v>8287</v>
      </c>
      <c r="E1434" s="20"/>
      <c r="F1434" s="216"/>
    </row>
    <row r="1435" spans="4:6">
      <c r="D1435" s="239">
        <v>8289</v>
      </c>
      <c r="E1435" s="20"/>
      <c r="F1435" s="216"/>
    </row>
    <row r="1436" spans="4:6">
      <c r="D1436" s="239">
        <v>8291</v>
      </c>
      <c r="E1436" s="20"/>
      <c r="F1436" s="216"/>
    </row>
    <row r="1437" spans="4:6">
      <c r="D1437" s="239">
        <v>8299</v>
      </c>
      <c r="E1437" s="20"/>
      <c r="F1437" s="216"/>
    </row>
    <row r="1438" spans="4:6">
      <c r="D1438" s="239">
        <v>8349</v>
      </c>
      <c r="E1438" s="20"/>
      <c r="F1438" s="216"/>
    </row>
    <row r="1439" spans="4:6">
      <c r="D1439" s="239">
        <v>8354</v>
      </c>
      <c r="E1439" s="20"/>
      <c r="F1439" s="216"/>
    </row>
    <row r="1440" spans="4:6">
      <c r="D1440" s="239">
        <v>8358</v>
      </c>
      <c r="E1440" s="20"/>
      <c r="F1440" s="216"/>
    </row>
    <row r="1441" spans="4:6">
      <c r="D1441" s="239">
        <v>8383</v>
      </c>
      <c r="E1441" s="20"/>
      <c r="F1441" s="216"/>
    </row>
    <row r="1442" spans="4:6">
      <c r="D1442" s="239">
        <v>8390</v>
      </c>
      <c r="E1442" s="20"/>
      <c r="F1442" s="216"/>
    </row>
    <row r="1443" spans="4:6">
      <c r="D1443" s="239">
        <v>8401</v>
      </c>
      <c r="E1443" s="20"/>
      <c r="F1443" s="216"/>
    </row>
    <row r="1444" spans="4:6">
      <c r="D1444" s="239">
        <v>8403</v>
      </c>
      <c r="E1444" s="20"/>
      <c r="F1444" s="216"/>
    </row>
    <row r="1445" spans="4:6">
      <c r="D1445" s="239">
        <v>8406</v>
      </c>
      <c r="E1445" s="20"/>
      <c r="F1445" s="216"/>
    </row>
    <row r="1446" spans="4:6">
      <c r="D1446" s="239">
        <v>8409</v>
      </c>
      <c r="E1446" s="20"/>
      <c r="F1446" s="216"/>
    </row>
    <row r="1447" spans="4:6">
      <c r="D1447" s="239">
        <v>8410</v>
      </c>
      <c r="E1447" s="20"/>
      <c r="F1447" s="216"/>
    </row>
    <row r="1448" spans="4:6">
      <c r="D1448" s="239">
        <v>8416</v>
      </c>
      <c r="E1448" s="20"/>
      <c r="F1448" s="216"/>
    </row>
    <row r="1449" spans="4:6">
      <c r="D1449" s="239">
        <v>8418</v>
      </c>
      <c r="E1449" s="20"/>
      <c r="F1449" s="216"/>
    </row>
    <row r="1450" spans="4:6">
      <c r="D1450" s="239">
        <v>8420</v>
      </c>
      <c r="E1450" s="20"/>
      <c r="F1450" s="216"/>
    </row>
    <row r="1451" spans="4:6">
      <c r="D1451" s="239">
        <v>8421</v>
      </c>
      <c r="E1451" s="20"/>
      <c r="F1451" s="216"/>
    </row>
    <row r="1452" spans="4:6">
      <c r="D1452" s="239">
        <v>8423</v>
      </c>
      <c r="E1452" s="20"/>
      <c r="F1452" s="216"/>
    </row>
    <row r="1453" spans="4:6">
      <c r="D1453" s="239">
        <v>8424</v>
      </c>
      <c r="E1453" s="20"/>
      <c r="F1453" s="216"/>
    </row>
    <row r="1454" spans="4:6">
      <c r="D1454" s="239">
        <v>8426</v>
      </c>
      <c r="E1454" s="20"/>
      <c r="F1454" s="216"/>
    </row>
    <row r="1455" spans="4:6">
      <c r="D1455" s="239">
        <v>8431</v>
      </c>
      <c r="E1455" s="20"/>
      <c r="F1455" s="216"/>
    </row>
    <row r="1456" spans="4:6">
      <c r="D1456" s="239">
        <v>8432</v>
      </c>
      <c r="E1456" s="20"/>
      <c r="F1456" s="216"/>
    </row>
    <row r="1457" spans="4:6">
      <c r="D1457" s="239">
        <v>8433</v>
      </c>
      <c r="E1457" s="20"/>
      <c r="F1457" s="216"/>
    </row>
    <row r="1458" spans="4:6">
      <c r="D1458" s="239">
        <v>8435</v>
      </c>
      <c r="E1458" s="20"/>
      <c r="F1458" s="216"/>
    </row>
    <row r="1459" spans="4:6">
      <c r="D1459" s="239">
        <v>8436</v>
      </c>
      <c r="E1459" s="20"/>
      <c r="F1459" s="216"/>
    </row>
    <row r="1460" spans="4:6">
      <c r="D1460" s="239">
        <v>8437</v>
      </c>
      <c r="E1460" s="20"/>
      <c r="F1460" s="216"/>
    </row>
    <row r="1461" spans="4:6">
      <c r="D1461" s="239">
        <v>8444</v>
      </c>
      <c r="E1461" s="20"/>
      <c r="F1461" s="216"/>
    </row>
    <row r="1462" spans="4:6">
      <c r="D1462" s="239">
        <v>8446</v>
      </c>
      <c r="E1462" s="20"/>
      <c r="F1462" s="216"/>
    </row>
    <row r="1463" spans="4:6">
      <c r="D1463" s="239">
        <v>8450</v>
      </c>
      <c r="E1463" s="20"/>
      <c r="F1463" s="216"/>
    </row>
    <row r="1464" spans="4:6">
      <c r="D1464" s="239">
        <v>8905</v>
      </c>
      <c r="E1464" s="20"/>
      <c r="F1464" s="216"/>
    </row>
    <row r="1465" spans="4:6">
      <c r="D1465" s="239">
        <v>8906</v>
      </c>
      <c r="E1465" s="20"/>
      <c r="F1465" s="216"/>
    </row>
    <row r="1466" spans="4:6">
      <c r="D1466" s="239">
        <v>8908</v>
      </c>
      <c r="E1466" s="20"/>
      <c r="F1466" s="216"/>
    </row>
    <row r="1467" spans="4:6">
      <c r="D1467" s="239">
        <v>8913</v>
      </c>
      <c r="E1467" s="20"/>
      <c r="F1467" s="216"/>
    </row>
    <row r="1468" spans="4:6">
      <c r="D1468" s="239">
        <v>8916</v>
      </c>
      <c r="E1468" s="20"/>
      <c r="F1468" s="216"/>
    </row>
    <row r="1469" spans="4:6">
      <c r="D1469" s="239">
        <v>8917</v>
      </c>
      <c r="E1469" s="20"/>
      <c r="F1469" s="216"/>
    </row>
    <row r="1470" spans="4:6">
      <c r="D1470" s="239">
        <v>8921</v>
      </c>
      <c r="E1470" s="20"/>
      <c r="F1470" s="216"/>
    </row>
    <row r="1471" spans="4:6">
      <c r="D1471" s="239">
        <v>8923</v>
      </c>
      <c r="E1471" s="20"/>
      <c r="F1471" s="216"/>
    </row>
    <row r="1472" spans="4:6">
      <c r="D1472" s="239">
        <v>8924</v>
      </c>
      <c r="E1472" s="20"/>
      <c r="F1472" s="216"/>
    </row>
    <row r="1473" spans="4:6">
      <c r="D1473" s="239">
        <v>8925</v>
      </c>
      <c r="E1473" s="20"/>
      <c r="F1473" s="216"/>
    </row>
    <row r="1474" spans="4:6">
      <c r="D1474" s="239">
        <v>8927</v>
      </c>
      <c r="E1474" s="20"/>
      <c r="F1474" s="216"/>
    </row>
    <row r="1475" spans="4:6">
      <c r="D1475" s="239">
        <v>8928</v>
      </c>
      <c r="E1475" s="20"/>
      <c r="F1475" s="216"/>
    </row>
    <row r="1476" spans="4:6">
      <c r="D1476" s="239">
        <v>8929</v>
      </c>
      <c r="E1476" s="20"/>
      <c r="F1476" s="216"/>
    </row>
    <row r="1477" spans="4:6">
      <c r="D1477" s="239">
        <v>8930</v>
      </c>
      <c r="E1477" s="20"/>
      <c r="F1477" s="216"/>
    </row>
    <row r="1478" spans="4:6">
      <c r="D1478" s="239">
        <v>8931</v>
      </c>
      <c r="E1478" s="20"/>
      <c r="F1478" s="216"/>
    </row>
    <row r="1479" spans="4:6">
      <c r="D1479" s="239">
        <v>8932</v>
      </c>
      <c r="E1479" s="20"/>
      <c r="F1479" s="216"/>
    </row>
    <row r="1480" spans="4:6">
      <c r="D1480" s="239">
        <v>8933</v>
      </c>
      <c r="E1480" s="20"/>
      <c r="F1480" s="216"/>
    </row>
    <row r="1481" spans="4:6">
      <c r="D1481" s="239">
        <v>8934</v>
      </c>
      <c r="E1481" s="20"/>
      <c r="F1481" s="216"/>
    </row>
    <row r="1482" spans="4:6">
      <c r="D1482" s="239">
        <v>8935</v>
      </c>
      <c r="E1482" s="20"/>
      <c r="F1482" s="216"/>
    </row>
    <row r="1483" spans="4:6">
      <c r="D1483" s="239">
        <v>8936</v>
      </c>
      <c r="E1483" s="20"/>
      <c r="F1483" s="216"/>
    </row>
    <row r="1484" spans="4:6">
      <c r="D1484" s="239">
        <v>8937</v>
      </c>
      <c r="E1484" s="20"/>
      <c r="F1484" s="216"/>
    </row>
    <row r="1485" spans="4:6">
      <c r="D1485" s="239">
        <v>8938</v>
      </c>
      <c r="E1485" s="20"/>
      <c r="F1485" s="216"/>
    </row>
    <row r="1486" spans="4:6">
      <c r="D1486" s="239">
        <v>8941</v>
      </c>
      <c r="E1486" s="20"/>
      <c r="F1486" s="216"/>
    </row>
    <row r="1487" spans="4:6">
      <c r="D1487" s="239">
        <v>8942</v>
      </c>
      <c r="E1487" s="20"/>
      <c r="F1487" s="216"/>
    </row>
    <row r="1488" spans="4:6">
      <c r="D1488" s="239">
        <v>9949</v>
      </c>
      <c r="E1488" s="20"/>
      <c r="F1488" s="216"/>
    </row>
    <row r="1489" spans="4:6">
      <c r="D1489" s="239">
        <v>9950</v>
      </c>
      <c r="E1489" s="20"/>
      <c r="F1489" s="216"/>
    </row>
    <row r="1490" spans="4:6">
      <c r="D1490" s="239">
        <v>9951</v>
      </c>
      <c r="E1490" s="20"/>
      <c r="F1490" s="216"/>
    </row>
    <row r="1491" spans="4:6">
      <c r="D1491" s="239">
        <v>9960</v>
      </c>
      <c r="E1491" s="20"/>
      <c r="F1491" s="216"/>
    </row>
    <row r="1492" spans="4:6">
      <c r="D1492" s="239">
        <v>9962</v>
      </c>
      <c r="E1492" s="20"/>
      <c r="F1492" s="216"/>
    </row>
    <row r="1493" spans="4:6">
      <c r="E1493" s="20"/>
      <c r="F1493" s="216"/>
    </row>
    <row r="1494" spans="4:6">
      <c r="E1494" s="20"/>
      <c r="F1494" s="216"/>
    </row>
    <row r="1495" spans="4:6">
      <c r="F1495" s="216"/>
    </row>
    <row r="1496" spans="4:6">
      <c r="F1496" s="216"/>
    </row>
    <row r="1497" spans="4:6">
      <c r="F1497" s="216"/>
    </row>
    <row r="1498" spans="4:6">
      <c r="F1498" s="216"/>
    </row>
    <row r="1499" spans="4:6">
      <c r="F1499" s="216"/>
    </row>
    <row r="1500" spans="4:6">
      <c r="F1500" s="216"/>
    </row>
    <row r="1501" spans="4:6">
      <c r="F1501" s="216"/>
    </row>
    <row r="1502" spans="4:6">
      <c r="F1502" s="216"/>
    </row>
    <row r="1503" spans="4:6">
      <c r="F1503" s="216"/>
    </row>
    <row r="1504" spans="4:6">
      <c r="F1504" s="216"/>
    </row>
    <row r="1505" spans="6:6">
      <c r="F1505" s="216"/>
    </row>
    <row r="1506" spans="6:6">
      <c r="F1506" s="216"/>
    </row>
    <row r="1507" spans="6:6">
      <c r="F1507" s="216"/>
    </row>
    <row r="1508" spans="6:6">
      <c r="F1508" s="216"/>
    </row>
    <row r="1509" spans="6:6">
      <c r="F1509" s="216"/>
    </row>
    <row r="1510" spans="6:6">
      <c r="F1510" s="216"/>
    </row>
    <row r="1511" spans="6:6">
      <c r="F1511" s="216"/>
    </row>
    <row r="1512" spans="6:6">
      <c r="F1512" s="216"/>
    </row>
    <row r="1513" spans="6:6">
      <c r="F1513" s="216"/>
    </row>
    <row r="1514" spans="6:6">
      <c r="F1514" s="216"/>
    </row>
    <row r="1515" spans="6:6">
      <c r="F1515" s="216"/>
    </row>
    <row r="1516" spans="6:6">
      <c r="F1516" s="216"/>
    </row>
    <row r="1517" spans="6:6">
      <c r="F1517" s="216"/>
    </row>
    <row r="1518" spans="6:6">
      <c r="F1518" s="216"/>
    </row>
    <row r="1519" spans="6:6">
      <c r="F1519" s="216"/>
    </row>
  </sheetData>
  <sortState ref="G2:H1520">
    <sortCondition ref="H2:H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71" r:id="rId3" name="CommandButton2"/>
    <control shapeId="3276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598"/>
  <sheetViews>
    <sheetView workbookViewId="0">
      <pane xSplit="2" ySplit="1" topLeftCell="C8" activePane="bottomRight" state="frozen"/>
      <selection pane="topRight" activeCell="D1" sqref="D1"/>
      <selection pane="bottomLeft" activeCell="A2" sqref="A2"/>
      <selection pane="bottomRight" activeCell="E25" sqref="E25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72">
        <v>42331</v>
      </c>
    </row>
    <row r="2" spans="1:30">
      <c r="A2" t="str">
        <f>"01007T"</f>
        <v>01007T</v>
      </c>
      <c r="B2" t="s">
        <v>1923</v>
      </c>
      <c r="C2">
        <v>15.2</v>
      </c>
    </row>
    <row r="3" spans="1:30">
      <c r="A3">
        <v>1101</v>
      </c>
      <c r="B3" t="s">
        <v>547</v>
      </c>
      <c r="C3">
        <v>31.6</v>
      </c>
    </row>
    <row r="4" spans="1:30">
      <c r="A4">
        <v>1102</v>
      </c>
      <c r="B4" t="s">
        <v>548</v>
      </c>
      <c r="C4">
        <v>28.8</v>
      </c>
    </row>
    <row r="5" spans="1:30">
      <c r="A5">
        <v>1103</v>
      </c>
      <c r="B5" t="s">
        <v>549</v>
      </c>
      <c r="C5">
        <v>10</v>
      </c>
      <c r="Y5" s="46"/>
      <c r="Z5" s="46"/>
      <c r="AD5" s="46"/>
    </row>
    <row r="6" spans="1:30">
      <c r="A6">
        <v>1104</v>
      </c>
      <c r="B6" t="s">
        <v>550</v>
      </c>
      <c r="C6">
        <v>22.95</v>
      </c>
      <c r="Y6" s="46"/>
      <c r="Z6" s="46"/>
      <c r="AD6" s="46"/>
    </row>
    <row r="7" spans="1:30">
      <c r="A7">
        <v>1108</v>
      </c>
      <c r="B7" t="s">
        <v>551</v>
      </c>
      <c r="C7">
        <v>10.1</v>
      </c>
      <c r="Y7" s="46"/>
      <c r="Z7" s="46"/>
      <c r="AD7" s="46"/>
    </row>
    <row r="8" spans="1:30">
      <c r="A8">
        <v>1109</v>
      </c>
      <c r="B8" t="s">
        <v>1854</v>
      </c>
      <c r="C8">
        <v>10</v>
      </c>
      <c r="Y8" s="46"/>
      <c r="Z8" s="46"/>
      <c r="AD8" s="46"/>
    </row>
    <row r="9" spans="1:30">
      <c r="A9">
        <v>1110</v>
      </c>
      <c r="B9" t="s">
        <v>552</v>
      </c>
      <c r="C9">
        <v>14.9</v>
      </c>
      <c r="Y9" s="46"/>
      <c r="Z9" s="46"/>
      <c r="AD9" s="46"/>
    </row>
    <row r="10" spans="1:30">
      <c r="A10">
        <v>1201</v>
      </c>
      <c r="B10" t="s">
        <v>553</v>
      </c>
      <c r="C10">
        <v>19</v>
      </c>
      <c r="Y10" s="46"/>
      <c r="Z10" s="46"/>
      <c r="AD10" s="46"/>
    </row>
    <row r="11" spans="1:30">
      <c r="A11">
        <v>1203</v>
      </c>
      <c r="B11" t="s">
        <v>554</v>
      </c>
      <c r="C11">
        <v>23.1</v>
      </c>
      <c r="Y11" s="46"/>
      <c r="Z11" s="46"/>
      <c r="AD11" s="46"/>
    </row>
    <row r="12" spans="1:30">
      <c r="A12">
        <v>1210</v>
      </c>
      <c r="B12" t="s">
        <v>555</v>
      </c>
      <c r="C12">
        <v>19.05</v>
      </c>
      <c r="Y12" s="46"/>
      <c r="Z12" s="46"/>
      <c r="AD12" s="46"/>
    </row>
    <row r="13" spans="1:30">
      <c r="A13">
        <v>1213</v>
      </c>
      <c r="B13" t="s">
        <v>556</v>
      </c>
      <c r="C13">
        <v>15.5</v>
      </c>
      <c r="Y13" s="46"/>
      <c r="Z13" s="46"/>
      <c r="AA13" s="46"/>
      <c r="AD13" s="46"/>
    </row>
    <row r="14" spans="1:30">
      <c r="A14">
        <v>1215</v>
      </c>
      <c r="B14" t="s">
        <v>557</v>
      </c>
      <c r="C14">
        <v>21.75</v>
      </c>
      <c r="Y14" s="46"/>
      <c r="Z14" s="46"/>
      <c r="AD14" s="46"/>
    </row>
    <row r="15" spans="1:30">
      <c r="A15">
        <v>1216</v>
      </c>
      <c r="B15" t="s">
        <v>558</v>
      </c>
      <c r="C15">
        <v>54.8</v>
      </c>
      <c r="Y15" s="46"/>
      <c r="Z15" s="46"/>
      <c r="AD15" s="46"/>
    </row>
    <row r="16" spans="1:30">
      <c r="A16">
        <v>1217</v>
      </c>
      <c r="B16" t="s">
        <v>559</v>
      </c>
      <c r="C16">
        <v>7.26</v>
      </c>
      <c r="Y16" s="46"/>
      <c r="Z16" s="46"/>
      <c r="AD16" s="46"/>
    </row>
    <row r="17" spans="1:30">
      <c r="A17">
        <v>1218</v>
      </c>
      <c r="B17" t="s">
        <v>560</v>
      </c>
      <c r="C17">
        <v>10.75</v>
      </c>
      <c r="Y17" s="46"/>
      <c r="Z17" s="46"/>
      <c r="AD17" s="46"/>
    </row>
    <row r="18" spans="1:30">
      <c r="A18">
        <v>1219</v>
      </c>
      <c r="B18" t="s">
        <v>561</v>
      </c>
      <c r="C18">
        <v>14.85</v>
      </c>
      <c r="Y18" s="46"/>
      <c r="Z18" s="46"/>
      <c r="AD18" s="46"/>
    </row>
    <row r="19" spans="1:30">
      <c r="A19">
        <v>1220</v>
      </c>
      <c r="B19" t="s">
        <v>562</v>
      </c>
      <c r="C19">
        <v>10.65</v>
      </c>
      <c r="Y19" s="46"/>
      <c r="Z19" s="46"/>
      <c r="AD19" s="46"/>
    </row>
    <row r="20" spans="1:30">
      <c r="A20">
        <v>1225</v>
      </c>
      <c r="B20" t="s">
        <v>563</v>
      </c>
      <c r="C20">
        <v>24.5</v>
      </c>
      <c r="Y20" s="46"/>
      <c r="Z20" s="46"/>
      <c r="AD20" s="46"/>
    </row>
    <row r="21" spans="1:30">
      <c r="A21">
        <v>1227</v>
      </c>
      <c r="B21" t="s">
        <v>564</v>
      </c>
      <c r="C21">
        <v>78.3</v>
      </c>
      <c r="Y21" s="46"/>
      <c r="Z21" s="46"/>
      <c r="AD21" s="46"/>
    </row>
    <row r="22" spans="1:30">
      <c r="A22">
        <v>1229</v>
      </c>
      <c r="B22" t="s">
        <v>565</v>
      </c>
      <c r="C22">
        <v>19.350000000000001</v>
      </c>
      <c r="Y22" s="46"/>
      <c r="Z22" s="46"/>
      <c r="AD22" s="46"/>
    </row>
    <row r="23" spans="1:30">
      <c r="A23">
        <v>1231</v>
      </c>
      <c r="B23" t="s">
        <v>566</v>
      </c>
      <c r="C23">
        <v>29.8</v>
      </c>
      <c r="Y23" s="46"/>
      <c r="Z23" s="46"/>
      <c r="AA23" s="46"/>
      <c r="AD23" s="46"/>
    </row>
    <row r="24" spans="1:30">
      <c r="A24">
        <v>1232</v>
      </c>
      <c r="B24" t="s">
        <v>567</v>
      </c>
      <c r="C24">
        <v>74.7</v>
      </c>
      <c r="Y24" s="46"/>
      <c r="Z24" s="46"/>
      <c r="AD24" s="46"/>
    </row>
    <row r="25" spans="1:30">
      <c r="A25">
        <v>1233</v>
      </c>
      <c r="B25" t="s">
        <v>568</v>
      </c>
      <c r="C25">
        <v>38</v>
      </c>
      <c r="Y25" s="46"/>
      <c r="Z25" s="46"/>
      <c r="AA25" s="46"/>
      <c r="AD25" s="46"/>
    </row>
    <row r="26" spans="1:30">
      <c r="A26">
        <v>1234</v>
      </c>
      <c r="B26" t="s">
        <v>569</v>
      </c>
      <c r="C26">
        <v>31.9</v>
      </c>
      <c r="Y26" s="46"/>
      <c r="Z26" s="46"/>
      <c r="AA26" s="46"/>
      <c r="AD26" s="46"/>
    </row>
    <row r="27" spans="1:30">
      <c r="A27">
        <v>1235</v>
      </c>
      <c r="B27" t="s">
        <v>570</v>
      </c>
      <c r="C27">
        <v>18.100000000000001</v>
      </c>
      <c r="Y27" s="46"/>
      <c r="Z27" s="46"/>
      <c r="AD27" s="46"/>
    </row>
    <row r="28" spans="1:30">
      <c r="A28">
        <v>1236</v>
      </c>
      <c r="B28" t="s">
        <v>571</v>
      </c>
      <c r="C28">
        <v>20.9</v>
      </c>
      <c r="Y28" s="46"/>
      <c r="Z28" s="46"/>
      <c r="AA28" s="46"/>
      <c r="AD28" s="46"/>
    </row>
    <row r="29" spans="1:30">
      <c r="A29">
        <v>1262</v>
      </c>
      <c r="B29" t="s">
        <v>572</v>
      </c>
      <c r="C29">
        <v>131.5</v>
      </c>
      <c r="Y29" s="46"/>
      <c r="Z29" s="46"/>
      <c r="AD29" s="46"/>
    </row>
    <row r="30" spans="1:30">
      <c r="A30">
        <v>1301</v>
      </c>
      <c r="B30" t="s">
        <v>573</v>
      </c>
      <c r="C30">
        <v>76</v>
      </c>
      <c r="Y30" s="46"/>
      <c r="Z30" s="46"/>
      <c r="AD30" s="46"/>
    </row>
    <row r="31" spans="1:30">
      <c r="A31">
        <v>1303</v>
      </c>
      <c r="B31" t="s">
        <v>574</v>
      </c>
      <c r="C31">
        <v>61.8</v>
      </c>
      <c r="Y31" s="46"/>
      <c r="Z31" s="46"/>
      <c r="AD31" s="46"/>
    </row>
    <row r="32" spans="1:30">
      <c r="A32">
        <v>1304</v>
      </c>
      <c r="B32" t="s">
        <v>575</v>
      </c>
      <c r="C32">
        <v>13.05</v>
      </c>
      <c r="Y32" s="46"/>
      <c r="Z32" s="46"/>
      <c r="AA32" s="46"/>
      <c r="AD32" s="46"/>
    </row>
    <row r="33" spans="1:30">
      <c r="A33">
        <v>1305</v>
      </c>
      <c r="B33" t="s">
        <v>576</v>
      </c>
      <c r="C33">
        <v>15.35</v>
      </c>
      <c r="Y33" s="46"/>
      <c r="Z33" s="46"/>
      <c r="AA33" s="46"/>
      <c r="AD33" s="46"/>
    </row>
    <row r="34" spans="1:30">
      <c r="A34">
        <v>1307</v>
      </c>
      <c r="B34" t="s">
        <v>577</v>
      </c>
      <c r="C34">
        <v>42.55</v>
      </c>
      <c r="M34" s="46"/>
      <c r="Y34" s="46"/>
      <c r="Z34" s="46"/>
      <c r="AD34" s="46"/>
    </row>
    <row r="35" spans="1:30">
      <c r="A35">
        <v>1308</v>
      </c>
      <c r="B35" t="s">
        <v>578</v>
      </c>
      <c r="C35">
        <v>17.899999999999999</v>
      </c>
      <c r="Y35" s="46"/>
      <c r="Z35" s="46"/>
      <c r="AA35" s="46"/>
      <c r="AD35" s="46"/>
    </row>
    <row r="36" spans="1:30">
      <c r="A36">
        <v>1309</v>
      </c>
      <c r="B36" t="s">
        <v>579</v>
      </c>
      <c r="C36">
        <v>7.62</v>
      </c>
      <c r="Y36" s="46"/>
      <c r="Z36" s="46"/>
      <c r="AD36" s="46"/>
    </row>
    <row r="37" spans="1:30">
      <c r="A37">
        <v>1310</v>
      </c>
      <c r="B37" t="s">
        <v>580</v>
      </c>
      <c r="C37">
        <v>13.9</v>
      </c>
      <c r="Y37" s="46"/>
      <c r="Z37" s="46"/>
      <c r="AD37" s="46"/>
    </row>
    <row r="38" spans="1:30">
      <c r="A38">
        <v>1312</v>
      </c>
      <c r="B38" t="s">
        <v>581</v>
      </c>
      <c r="C38">
        <v>14.4</v>
      </c>
      <c r="Y38" s="46"/>
      <c r="Z38" s="46"/>
      <c r="AD38" s="46"/>
    </row>
    <row r="39" spans="1:30">
      <c r="A39" t="s">
        <v>259</v>
      </c>
      <c r="B39" t="s">
        <v>582</v>
      </c>
      <c r="C39" t="s">
        <v>1904</v>
      </c>
      <c r="Y39" s="46"/>
      <c r="Z39" s="46"/>
      <c r="AD39" s="46"/>
    </row>
    <row r="40" spans="1:30">
      <c r="A40">
        <v>1313</v>
      </c>
      <c r="B40" t="s">
        <v>583</v>
      </c>
      <c r="C40">
        <v>9.0299999999999994</v>
      </c>
      <c r="Y40" s="46"/>
      <c r="Z40" s="46"/>
      <c r="AA40" s="46"/>
      <c r="AD40" s="46"/>
    </row>
    <row r="41" spans="1:30">
      <c r="A41">
        <v>1314</v>
      </c>
      <c r="B41" t="s">
        <v>584</v>
      </c>
      <c r="C41">
        <v>8</v>
      </c>
      <c r="Y41" s="46"/>
      <c r="Z41" s="46"/>
      <c r="AD41" s="46"/>
    </row>
    <row r="42" spans="1:30">
      <c r="A42">
        <v>1315</v>
      </c>
      <c r="B42" t="s">
        <v>585</v>
      </c>
      <c r="C42">
        <v>23.65</v>
      </c>
      <c r="Y42" s="46"/>
      <c r="Z42" s="46"/>
      <c r="AD42" s="46"/>
    </row>
    <row r="43" spans="1:30">
      <c r="A43">
        <v>1316</v>
      </c>
      <c r="B43" t="s">
        <v>586</v>
      </c>
      <c r="C43">
        <v>10.15</v>
      </c>
      <c r="Y43" s="46"/>
      <c r="Z43" s="46"/>
      <c r="AD43" s="46"/>
    </row>
    <row r="44" spans="1:30">
      <c r="A44">
        <v>1319</v>
      </c>
      <c r="B44" t="s">
        <v>587</v>
      </c>
      <c r="C44">
        <v>39.35</v>
      </c>
      <c r="Y44" s="46"/>
      <c r="Z44" s="46"/>
      <c r="AA44" s="46"/>
      <c r="AD44" s="46"/>
    </row>
    <row r="45" spans="1:30">
      <c r="A45">
        <v>1321</v>
      </c>
      <c r="B45" t="s">
        <v>588</v>
      </c>
      <c r="C45">
        <v>28</v>
      </c>
      <c r="Y45" s="46"/>
      <c r="Z45" s="46"/>
      <c r="AD45" s="46"/>
    </row>
    <row r="46" spans="1:30">
      <c r="A46">
        <v>1323</v>
      </c>
      <c r="B46" t="s">
        <v>589</v>
      </c>
      <c r="C46">
        <v>27.2</v>
      </c>
      <c r="Y46" s="46"/>
      <c r="Z46" s="46"/>
      <c r="AD46" s="46"/>
    </row>
    <row r="47" spans="1:30">
      <c r="A47">
        <v>1324</v>
      </c>
      <c r="B47" t="s">
        <v>590</v>
      </c>
      <c r="C47">
        <v>12.15</v>
      </c>
      <c r="Y47" s="46"/>
      <c r="Z47" s="46"/>
      <c r="AA47" s="46"/>
      <c r="AD47" s="46"/>
    </row>
    <row r="48" spans="1:30">
      <c r="A48">
        <v>1325</v>
      </c>
      <c r="B48" t="s">
        <v>591</v>
      </c>
      <c r="C48">
        <v>20.75</v>
      </c>
      <c r="Y48" s="46"/>
      <c r="Z48" s="46"/>
      <c r="AD48" s="46"/>
    </row>
    <row r="49" spans="1:30">
      <c r="A49">
        <v>1326</v>
      </c>
      <c r="B49" t="s">
        <v>592</v>
      </c>
      <c r="C49">
        <v>71.900000000000006</v>
      </c>
      <c r="Y49" s="46"/>
      <c r="Z49" s="46"/>
      <c r="AD49" s="46"/>
    </row>
    <row r="50" spans="1:30">
      <c r="A50">
        <v>1337</v>
      </c>
      <c r="B50" t="s">
        <v>593</v>
      </c>
      <c r="C50">
        <v>21.6</v>
      </c>
      <c r="Y50" s="46"/>
      <c r="Z50" s="46"/>
      <c r="AD50" s="46"/>
    </row>
    <row r="51" spans="1:30">
      <c r="A51">
        <v>1338</v>
      </c>
      <c r="B51" t="s">
        <v>594</v>
      </c>
      <c r="C51">
        <v>142</v>
      </c>
      <c r="Y51" s="46"/>
      <c r="Z51" s="46"/>
      <c r="AD51" s="46"/>
    </row>
    <row r="52" spans="1:30">
      <c r="A52">
        <v>1339</v>
      </c>
      <c r="B52" t="s">
        <v>595</v>
      </c>
      <c r="C52">
        <v>64</v>
      </c>
      <c r="Y52" s="46"/>
      <c r="Z52" s="46"/>
      <c r="AD52" s="46"/>
    </row>
    <row r="53" spans="1:30">
      <c r="A53">
        <v>1340</v>
      </c>
      <c r="B53" t="s">
        <v>596</v>
      </c>
      <c r="C53">
        <v>75.8</v>
      </c>
      <c r="Y53" s="46"/>
      <c r="Z53" s="46"/>
      <c r="AD53" s="46"/>
    </row>
    <row r="54" spans="1:30">
      <c r="A54">
        <v>1402</v>
      </c>
      <c r="B54" t="s">
        <v>597</v>
      </c>
      <c r="C54">
        <v>26.5</v>
      </c>
      <c r="Y54" s="46"/>
      <c r="Z54" s="46"/>
      <c r="AD54" s="46"/>
    </row>
    <row r="55" spans="1:30">
      <c r="A55">
        <v>1409</v>
      </c>
      <c r="B55" t="s">
        <v>598</v>
      </c>
      <c r="C55">
        <v>9.0500000000000007</v>
      </c>
      <c r="Y55" s="46"/>
      <c r="Z55" s="46"/>
      <c r="AD55" s="46"/>
    </row>
    <row r="56" spans="1:30">
      <c r="A56">
        <v>1410</v>
      </c>
      <c r="B56" t="s">
        <v>599</v>
      </c>
      <c r="C56">
        <v>23.5</v>
      </c>
      <c r="Y56" s="46"/>
      <c r="Z56" s="46"/>
      <c r="AD56" s="46"/>
    </row>
    <row r="57" spans="1:30">
      <c r="A57">
        <v>1413</v>
      </c>
      <c r="B57" t="s">
        <v>600</v>
      </c>
      <c r="C57">
        <v>7.99</v>
      </c>
      <c r="Y57" s="46"/>
      <c r="Z57" s="46"/>
      <c r="AD57" s="46"/>
    </row>
    <row r="58" spans="1:30">
      <c r="A58">
        <v>1414</v>
      </c>
      <c r="B58" t="s">
        <v>601</v>
      </c>
      <c r="C58">
        <v>6.76</v>
      </c>
      <c r="Y58" s="46"/>
      <c r="Z58" s="46"/>
      <c r="AD58" s="46"/>
    </row>
    <row r="59" spans="1:30">
      <c r="A59">
        <v>1416</v>
      </c>
      <c r="B59" t="s">
        <v>602</v>
      </c>
      <c r="C59">
        <v>18.7</v>
      </c>
      <c r="Y59" s="46"/>
      <c r="Z59" s="46"/>
      <c r="AD59" s="46"/>
    </row>
    <row r="60" spans="1:30">
      <c r="A60">
        <v>1417</v>
      </c>
      <c r="B60" t="s">
        <v>603</v>
      </c>
      <c r="C60">
        <v>5.37</v>
      </c>
      <c r="Y60" s="46"/>
      <c r="Z60" s="46"/>
      <c r="AD60" s="46"/>
    </row>
    <row r="61" spans="1:30">
      <c r="A61">
        <v>1418</v>
      </c>
      <c r="B61" t="s">
        <v>604</v>
      </c>
      <c r="C61">
        <v>4.9000000000000004</v>
      </c>
      <c r="Y61" s="46"/>
      <c r="Z61" s="46"/>
      <c r="AD61" s="46"/>
    </row>
    <row r="62" spans="1:30">
      <c r="A62">
        <v>1419</v>
      </c>
      <c r="B62" t="s">
        <v>605</v>
      </c>
      <c r="C62">
        <v>36</v>
      </c>
      <c r="Y62" s="46"/>
      <c r="Z62" s="46"/>
      <c r="AD62" s="46"/>
    </row>
    <row r="63" spans="1:30">
      <c r="A63">
        <v>1423</v>
      </c>
      <c r="B63" t="s">
        <v>606</v>
      </c>
      <c r="C63">
        <v>7.15</v>
      </c>
      <c r="Y63" s="46"/>
      <c r="Z63" s="46"/>
      <c r="AD63" s="46"/>
    </row>
    <row r="64" spans="1:30">
      <c r="A64">
        <v>1432</v>
      </c>
      <c r="B64" t="s">
        <v>607</v>
      </c>
      <c r="C64">
        <v>19.55</v>
      </c>
      <c r="Y64" s="46"/>
      <c r="Z64" s="46"/>
      <c r="AD64" s="46"/>
    </row>
    <row r="65" spans="1:30">
      <c r="A65">
        <v>1434</v>
      </c>
      <c r="B65" t="s">
        <v>608</v>
      </c>
      <c r="C65">
        <v>31.05</v>
      </c>
      <c r="Y65" s="46"/>
      <c r="Z65" s="46"/>
      <c r="AD65" s="46"/>
    </row>
    <row r="66" spans="1:30">
      <c r="A66">
        <v>1435</v>
      </c>
      <c r="B66" t="s">
        <v>609</v>
      </c>
      <c r="C66">
        <v>4.53</v>
      </c>
      <c r="Y66" s="46"/>
      <c r="Z66" s="46"/>
      <c r="AA66" s="46"/>
      <c r="AD66" s="46"/>
    </row>
    <row r="67" spans="1:30">
      <c r="A67">
        <v>1436</v>
      </c>
      <c r="B67" t="s">
        <v>610</v>
      </c>
      <c r="C67">
        <v>41.1</v>
      </c>
      <c r="Y67" s="46"/>
      <c r="Z67" s="46"/>
      <c r="AA67" s="46"/>
      <c r="AD67" s="46"/>
    </row>
    <row r="68" spans="1:30">
      <c r="A68">
        <v>1437</v>
      </c>
      <c r="B68" t="s">
        <v>611</v>
      </c>
      <c r="C68">
        <v>12.1</v>
      </c>
      <c r="Y68" s="46"/>
      <c r="Z68" s="46"/>
      <c r="AA68" s="46"/>
      <c r="AD68" s="46"/>
    </row>
    <row r="69" spans="1:30">
      <c r="A69">
        <v>1438</v>
      </c>
      <c r="B69" t="s">
        <v>612</v>
      </c>
      <c r="C69">
        <v>4.6500000000000004</v>
      </c>
      <c r="Y69" s="46"/>
      <c r="Z69" s="46"/>
      <c r="AD69" s="46"/>
    </row>
    <row r="70" spans="1:30">
      <c r="A70">
        <v>1439</v>
      </c>
      <c r="B70" t="s">
        <v>613</v>
      </c>
      <c r="C70">
        <v>12.5</v>
      </c>
      <c r="Y70" s="46"/>
      <c r="Z70" s="46"/>
      <c r="AD70" s="46"/>
    </row>
    <row r="71" spans="1:30">
      <c r="A71">
        <v>1440</v>
      </c>
      <c r="B71" t="s">
        <v>614</v>
      </c>
      <c r="C71">
        <v>14.6</v>
      </c>
      <c r="Y71" s="46"/>
      <c r="Z71" s="46"/>
      <c r="AD71" s="46"/>
    </row>
    <row r="72" spans="1:30">
      <c r="A72">
        <v>1441</v>
      </c>
      <c r="B72" t="s">
        <v>615</v>
      </c>
      <c r="C72">
        <v>7.26</v>
      </c>
      <c r="Y72" s="46"/>
      <c r="Z72" s="46"/>
      <c r="AD72" s="46"/>
    </row>
    <row r="73" spans="1:30">
      <c r="A73">
        <v>1442</v>
      </c>
      <c r="B73" t="s">
        <v>616</v>
      </c>
      <c r="C73">
        <v>17.95</v>
      </c>
      <c r="Y73" s="46"/>
      <c r="Z73" s="46"/>
      <c r="AD73" s="46"/>
    </row>
    <row r="74" spans="1:30">
      <c r="A74">
        <v>1443</v>
      </c>
      <c r="B74" t="s">
        <v>617</v>
      </c>
      <c r="C74">
        <v>4.75</v>
      </c>
      <c r="Y74" s="46"/>
      <c r="Z74" s="46"/>
      <c r="AD74" s="46"/>
    </row>
    <row r="75" spans="1:30">
      <c r="A75">
        <v>1444</v>
      </c>
      <c r="B75" t="s">
        <v>618</v>
      </c>
      <c r="C75">
        <v>9.2799999999999994</v>
      </c>
      <c r="Y75" s="46"/>
      <c r="Z75" s="46"/>
      <c r="AD75" s="46"/>
    </row>
    <row r="76" spans="1:30">
      <c r="A76">
        <v>1445</v>
      </c>
      <c r="B76" t="s">
        <v>619</v>
      </c>
      <c r="C76">
        <v>9.5500000000000007</v>
      </c>
      <c r="Y76" s="46"/>
      <c r="Z76" s="46"/>
      <c r="AA76" s="46"/>
      <c r="AD76" s="46"/>
    </row>
    <row r="77" spans="1:30">
      <c r="A77">
        <v>1446</v>
      </c>
      <c r="B77" t="s">
        <v>620</v>
      </c>
      <c r="C77">
        <v>20.75</v>
      </c>
      <c r="Y77" s="46"/>
      <c r="Z77" s="46"/>
      <c r="AD77" s="46"/>
    </row>
    <row r="78" spans="1:30">
      <c r="A78">
        <v>1447</v>
      </c>
      <c r="B78" t="s">
        <v>621</v>
      </c>
      <c r="C78">
        <v>8.8800000000000008</v>
      </c>
      <c r="Y78" s="46"/>
      <c r="Z78" s="46"/>
      <c r="AD78" s="46"/>
    </row>
    <row r="79" spans="1:30">
      <c r="A79">
        <v>1449</v>
      </c>
      <c r="B79" t="s">
        <v>622</v>
      </c>
      <c r="C79">
        <v>6.42</v>
      </c>
      <c r="Y79" s="46"/>
      <c r="Z79" s="46"/>
      <c r="AD79" s="46"/>
    </row>
    <row r="80" spans="1:30">
      <c r="A80">
        <v>1451</v>
      </c>
      <c r="B80" t="s">
        <v>623</v>
      </c>
      <c r="C80">
        <v>20.85</v>
      </c>
      <c r="Y80" s="46"/>
      <c r="Z80" s="46"/>
      <c r="AD80" s="46"/>
    </row>
    <row r="81" spans="1:30">
      <c r="A81">
        <v>1452</v>
      </c>
      <c r="B81" t="s">
        <v>624</v>
      </c>
      <c r="C81">
        <v>26.7</v>
      </c>
      <c r="Y81" s="46"/>
      <c r="Z81" s="46"/>
      <c r="AD81" s="46"/>
    </row>
    <row r="82" spans="1:30">
      <c r="A82">
        <v>1453</v>
      </c>
      <c r="B82" t="s">
        <v>625</v>
      </c>
      <c r="C82">
        <v>8.44</v>
      </c>
      <c r="Y82" s="46"/>
      <c r="Z82" s="46"/>
      <c r="AD82" s="46"/>
    </row>
    <row r="83" spans="1:30">
      <c r="A83">
        <v>1454</v>
      </c>
      <c r="B83" t="s">
        <v>626</v>
      </c>
      <c r="C83">
        <v>9.56</v>
      </c>
      <c r="Y83" s="46"/>
      <c r="Z83" s="46"/>
      <c r="AD83" s="46"/>
    </row>
    <row r="84" spans="1:30">
      <c r="A84">
        <v>1455</v>
      </c>
      <c r="B84" t="s">
        <v>627</v>
      </c>
      <c r="C84">
        <v>8.41</v>
      </c>
      <c r="Y84" s="46"/>
      <c r="Z84" s="46"/>
      <c r="AD84" s="46"/>
    </row>
    <row r="85" spans="1:30">
      <c r="A85">
        <v>1456</v>
      </c>
      <c r="B85" t="s">
        <v>628</v>
      </c>
      <c r="C85">
        <v>4.1100000000000003</v>
      </c>
      <c r="Y85" s="46"/>
      <c r="Z85" s="46"/>
      <c r="AA85" s="46"/>
      <c r="AD85" s="46"/>
    </row>
    <row r="86" spans="1:30">
      <c r="A86">
        <v>1457</v>
      </c>
      <c r="B86" t="s">
        <v>629</v>
      </c>
      <c r="C86">
        <v>12.05</v>
      </c>
      <c r="Y86" s="46"/>
      <c r="Z86" s="46"/>
      <c r="AD86" s="46"/>
    </row>
    <row r="87" spans="1:30">
      <c r="A87">
        <v>1459</v>
      </c>
      <c r="B87" t="s">
        <v>630</v>
      </c>
      <c r="C87">
        <v>10.55</v>
      </c>
      <c r="Y87" s="46"/>
      <c r="Z87" s="46"/>
      <c r="AA87" s="46"/>
      <c r="AD87" s="46"/>
    </row>
    <row r="88" spans="1:30">
      <c r="A88">
        <v>1460</v>
      </c>
      <c r="B88" t="s">
        <v>631</v>
      </c>
      <c r="C88">
        <v>15.75</v>
      </c>
      <c r="Y88" s="46"/>
      <c r="Z88" s="46"/>
      <c r="AD88" s="46"/>
    </row>
    <row r="89" spans="1:30">
      <c r="A89">
        <v>1463</v>
      </c>
      <c r="B89" t="s">
        <v>632</v>
      </c>
      <c r="C89">
        <v>17.399999999999999</v>
      </c>
      <c r="Y89" s="46"/>
      <c r="Z89" s="46"/>
      <c r="AD89" s="46"/>
    </row>
    <row r="90" spans="1:30">
      <c r="A90">
        <v>1464</v>
      </c>
      <c r="B90" t="s">
        <v>633</v>
      </c>
      <c r="C90">
        <v>32.6</v>
      </c>
      <c r="Y90" s="46"/>
      <c r="Z90" s="46"/>
      <c r="AD90" s="46"/>
    </row>
    <row r="91" spans="1:30">
      <c r="A91">
        <v>1465</v>
      </c>
      <c r="B91" t="s">
        <v>634</v>
      </c>
      <c r="C91">
        <v>14.15</v>
      </c>
      <c r="Y91" s="46"/>
      <c r="Z91" s="46"/>
      <c r="AD91" s="46"/>
    </row>
    <row r="92" spans="1:30">
      <c r="A92">
        <v>1466</v>
      </c>
      <c r="B92" t="s">
        <v>635</v>
      </c>
      <c r="C92">
        <v>15.95</v>
      </c>
      <c r="Y92" s="46"/>
      <c r="Z92" s="46"/>
      <c r="AD92" s="46"/>
    </row>
    <row r="93" spans="1:30">
      <c r="A93">
        <v>1467</v>
      </c>
      <c r="B93" t="s">
        <v>636</v>
      </c>
      <c r="C93">
        <v>14.4</v>
      </c>
      <c r="Y93" s="46"/>
      <c r="Z93" s="46"/>
      <c r="AD93" s="46"/>
    </row>
    <row r="94" spans="1:30">
      <c r="A94">
        <v>1468</v>
      </c>
      <c r="B94" t="s">
        <v>637</v>
      </c>
      <c r="C94">
        <v>9.23</v>
      </c>
      <c r="Y94" s="46"/>
      <c r="Z94" s="46"/>
      <c r="AA94" s="46"/>
      <c r="AD94" s="46"/>
    </row>
    <row r="95" spans="1:30">
      <c r="A95">
        <v>1469</v>
      </c>
      <c r="B95" t="s">
        <v>638</v>
      </c>
      <c r="C95">
        <v>12.4</v>
      </c>
      <c r="Y95" s="46"/>
      <c r="Z95" s="46"/>
      <c r="AD95" s="46"/>
    </row>
    <row r="96" spans="1:30">
      <c r="A96">
        <v>1470</v>
      </c>
      <c r="B96" t="s">
        <v>639</v>
      </c>
      <c r="C96">
        <v>17.399999999999999</v>
      </c>
      <c r="Y96" s="46"/>
      <c r="Z96" s="46"/>
      <c r="AD96" s="46"/>
    </row>
    <row r="97" spans="1:30">
      <c r="A97">
        <v>1471</v>
      </c>
      <c r="B97" t="s">
        <v>640</v>
      </c>
      <c r="C97">
        <v>4.49</v>
      </c>
      <c r="Y97" s="46"/>
      <c r="Z97" s="46"/>
      <c r="AD97" s="46"/>
    </row>
    <row r="98" spans="1:30">
      <c r="A98">
        <v>1472</v>
      </c>
      <c r="B98" t="s">
        <v>641</v>
      </c>
      <c r="C98">
        <v>15.6</v>
      </c>
      <c r="Y98" s="46"/>
      <c r="Z98" s="46"/>
      <c r="AD98" s="46"/>
    </row>
    <row r="99" spans="1:30">
      <c r="A99">
        <v>1473</v>
      </c>
      <c r="B99" t="s">
        <v>642</v>
      </c>
      <c r="C99">
        <v>25.35</v>
      </c>
      <c r="Y99" s="46"/>
      <c r="Z99" s="46"/>
      <c r="AD99" s="46"/>
    </row>
    <row r="100" spans="1:30">
      <c r="A100">
        <v>1474</v>
      </c>
      <c r="B100" t="s">
        <v>643</v>
      </c>
      <c r="C100">
        <v>11</v>
      </c>
      <c r="Y100" s="46"/>
      <c r="Z100" s="46"/>
      <c r="AA100" s="46"/>
      <c r="AD100" s="46"/>
    </row>
    <row r="101" spans="1:30">
      <c r="A101">
        <v>1475</v>
      </c>
      <c r="B101" t="s">
        <v>644</v>
      </c>
      <c r="C101">
        <v>8.19</v>
      </c>
      <c r="Y101" s="46"/>
      <c r="Z101" s="46"/>
      <c r="AD101" s="46"/>
    </row>
    <row r="102" spans="1:30">
      <c r="A102">
        <v>1476</v>
      </c>
      <c r="B102" t="s">
        <v>645</v>
      </c>
      <c r="C102">
        <v>446</v>
      </c>
      <c r="Y102" s="46"/>
      <c r="Z102" s="46"/>
      <c r="AA102" s="46"/>
      <c r="AD102" s="46"/>
    </row>
    <row r="103" spans="1:30">
      <c r="A103">
        <v>1477</v>
      </c>
      <c r="B103" t="s">
        <v>646</v>
      </c>
      <c r="C103">
        <v>217.5</v>
      </c>
      <c r="Y103" s="46"/>
      <c r="Z103" s="46"/>
      <c r="AA103" s="46"/>
      <c r="AD103" s="46"/>
    </row>
    <row r="104" spans="1:30">
      <c r="A104">
        <v>1503</v>
      </c>
      <c r="B104" t="s">
        <v>647</v>
      </c>
      <c r="C104">
        <v>40</v>
      </c>
      <c r="Y104" s="46"/>
      <c r="Z104" s="46"/>
      <c r="AD104" s="46"/>
    </row>
    <row r="105" spans="1:30">
      <c r="A105">
        <v>1504</v>
      </c>
      <c r="B105" t="s">
        <v>648</v>
      </c>
      <c r="C105">
        <v>26.85</v>
      </c>
      <c r="Y105" s="46"/>
      <c r="Z105" s="46"/>
      <c r="AA105" s="46"/>
      <c r="AD105" s="46"/>
    </row>
    <row r="106" spans="1:30">
      <c r="A106">
        <v>1506</v>
      </c>
      <c r="B106" t="s">
        <v>649</v>
      </c>
      <c r="C106">
        <v>15.9</v>
      </c>
      <c r="Y106" s="46"/>
      <c r="Z106" s="46"/>
      <c r="AD106" s="46"/>
    </row>
    <row r="107" spans="1:30">
      <c r="A107">
        <v>1507</v>
      </c>
      <c r="B107" t="s">
        <v>650</v>
      </c>
      <c r="C107">
        <v>51.8</v>
      </c>
      <c r="Y107" s="46"/>
      <c r="Z107" s="46"/>
      <c r="AD107" s="46"/>
    </row>
    <row r="108" spans="1:30">
      <c r="A108">
        <v>1512</v>
      </c>
      <c r="B108" t="s">
        <v>651</v>
      </c>
      <c r="C108">
        <v>4.6900000000000004</v>
      </c>
      <c r="Y108" s="46"/>
      <c r="Z108" s="46"/>
      <c r="AD108" s="46"/>
    </row>
    <row r="109" spans="1:30">
      <c r="A109">
        <v>1513</v>
      </c>
      <c r="B109" t="s">
        <v>652</v>
      </c>
      <c r="C109">
        <v>17.55</v>
      </c>
      <c r="Y109" s="46"/>
      <c r="Z109" s="46"/>
      <c r="AA109" s="46"/>
      <c r="AD109" s="46"/>
    </row>
    <row r="110" spans="1:30">
      <c r="A110">
        <v>1514</v>
      </c>
      <c r="B110" t="s">
        <v>653</v>
      </c>
      <c r="C110">
        <v>8.5</v>
      </c>
      <c r="Y110" s="46"/>
      <c r="Z110" s="46"/>
      <c r="AD110" s="46"/>
    </row>
    <row r="111" spans="1:30">
      <c r="A111">
        <v>1515</v>
      </c>
      <c r="B111" t="s">
        <v>654</v>
      </c>
      <c r="C111">
        <v>11.15</v>
      </c>
      <c r="Y111" s="46"/>
      <c r="Z111" s="46"/>
      <c r="AD111" s="46"/>
    </row>
    <row r="112" spans="1:30">
      <c r="A112">
        <v>1516</v>
      </c>
      <c r="B112" t="s">
        <v>655</v>
      </c>
      <c r="C112">
        <v>20.5</v>
      </c>
      <c r="Y112" s="46"/>
      <c r="Z112" s="46"/>
      <c r="AD112" s="46"/>
    </row>
    <row r="113" spans="1:30">
      <c r="A113">
        <v>1517</v>
      </c>
      <c r="B113" t="s">
        <v>656</v>
      </c>
      <c r="C113">
        <v>12.15</v>
      </c>
      <c r="Y113" s="46"/>
      <c r="Z113" s="46"/>
      <c r="AD113" s="46"/>
    </row>
    <row r="114" spans="1:30">
      <c r="A114">
        <v>1519</v>
      </c>
      <c r="B114" t="s">
        <v>657</v>
      </c>
      <c r="C114">
        <v>15.45</v>
      </c>
      <c r="Y114" s="46"/>
      <c r="Z114" s="46"/>
      <c r="AA114" s="46"/>
      <c r="AD114" s="46"/>
    </row>
    <row r="115" spans="1:30">
      <c r="A115">
        <v>1521</v>
      </c>
      <c r="B115" t="s">
        <v>658</v>
      </c>
      <c r="C115">
        <v>83.2</v>
      </c>
      <c r="Y115" s="46"/>
      <c r="Z115" s="46"/>
      <c r="AA115" s="46"/>
      <c r="AD115" s="46"/>
    </row>
    <row r="116" spans="1:30">
      <c r="A116">
        <v>1522</v>
      </c>
      <c r="B116" t="s">
        <v>659</v>
      </c>
      <c r="C116">
        <v>24.1</v>
      </c>
      <c r="Y116" s="46"/>
      <c r="Z116" s="46"/>
      <c r="AD116" s="46"/>
    </row>
    <row r="117" spans="1:30">
      <c r="A117">
        <v>1524</v>
      </c>
      <c r="B117" t="s">
        <v>660</v>
      </c>
      <c r="C117">
        <v>6.77</v>
      </c>
      <c r="Y117" s="46"/>
      <c r="Z117" s="46"/>
      <c r="AD117" s="46"/>
    </row>
    <row r="118" spans="1:30">
      <c r="A118">
        <v>1525</v>
      </c>
      <c r="B118" t="s">
        <v>661</v>
      </c>
      <c r="C118">
        <v>86.8</v>
      </c>
      <c r="Y118" s="46"/>
      <c r="Z118" s="46"/>
      <c r="AD118" s="46"/>
    </row>
    <row r="119" spans="1:30">
      <c r="A119">
        <v>1526</v>
      </c>
      <c r="B119" t="s">
        <v>662</v>
      </c>
      <c r="C119">
        <v>14.9</v>
      </c>
      <c r="Y119" s="46"/>
      <c r="Z119" s="46"/>
      <c r="AD119" s="46"/>
    </row>
    <row r="120" spans="1:30">
      <c r="A120">
        <v>1527</v>
      </c>
      <c r="B120" t="s">
        <v>663</v>
      </c>
      <c r="C120">
        <v>67.2</v>
      </c>
      <c r="Y120" s="46"/>
      <c r="Z120" s="46"/>
      <c r="AD120" s="46"/>
    </row>
    <row r="121" spans="1:30">
      <c r="A121">
        <v>1528</v>
      </c>
      <c r="B121" t="s">
        <v>664</v>
      </c>
      <c r="C121">
        <v>9.32</v>
      </c>
      <c r="Y121" s="46"/>
      <c r="Z121" s="46"/>
      <c r="AD121" s="46"/>
    </row>
    <row r="122" spans="1:30">
      <c r="A122">
        <v>1529</v>
      </c>
      <c r="B122" t="s">
        <v>665</v>
      </c>
      <c r="C122">
        <v>5.5</v>
      </c>
      <c r="Y122" s="46"/>
      <c r="Z122" s="46"/>
      <c r="AD122" s="46"/>
    </row>
    <row r="123" spans="1:30">
      <c r="A123">
        <v>1530</v>
      </c>
      <c r="B123" t="s">
        <v>666</v>
      </c>
      <c r="C123">
        <v>34.65</v>
      </c>
      <c r="Y123" s="46"/>
      <c r="Z123" s="46"/>
      <c r="AA123" s="46"/>
      <c r="AD123" s="46"/>
    </row>
    <row r="124" spans="1:30">
      <c r="A124">
        <v>1531</v>
      </c>
      <c r="B124" t="s">
        <v>667</v>
      </c>
      <c r="C124">
        <v>16.8</v>
      </c>
      <c r="Y124" s="46"/>
      <c r="Z124" s="46"/>
      <c r="AD124" s="46"/>
    </row>
    <row r="125" spans="1:30">
      <c r="A125">
        <v>1532</v>
      </c>
      <c r="B125" t="s">
        <v>668</v>
      </c>
      <c r="C125">
        <v>27.1</v>
      </c>
      <c r="Y125" s="46"/>
      <c r="Z125" s="46"/>
      <c r="AD125" s="46"/>
    </row>
    <row r="126" spans="1:30">
      <c r="A126">
        <v>1533</v>
      </c>
      <c r="B126" t="s">
        <v>669</v>
      </c>
      <c r="C126">
        <v>45.1</v>
      </c>
      <c r="Y126" s="46"/>
      <c r="Z126" s="46"/>
      <c r="AD126" s="46"/>
    </row>
    <row r="127" spans="1:30">
      <c r="A127">
        <v>1535</v>
      </c>
      <c r="B127" t="s">
        <v>670</v>
      </c>
      <c r="C127">
        <v>59.5</v>
      </c>
      <c r="Y127" s="46"/>
      <c r="Z127" s="46"/>
      <c r="AD127" s="46"/>
    </row>
    <row r="128" spans="1:30">
      <c r="A128">
        <v>1536</v>
      </c>
      <c r="B128" t="s">
        <v>671</v>
      </c>
      <c r="C128">
        <v>128</v>
      </c>
      <c r="Y128" s="46"/>
      <c r="Z128" s="46"/>
      <c r="AD128" s="46"/>
    </row>
    <row r="129" spans="1:30">
      <c r="A129">
        <v>1537</v>
      </c>
      <c r="B129" t="s">
        <v>672</v>
      </c>
      <c r="C129">
        <v>126</v>
      </c>
      <c r="Y129" s="46"/>
      <c r="Z129" s="46"/>
      <c r="AA129" s="46"/>
      <c r="AD129" s="46"/>
    </row>
    <row r="130" spans="1:30">
      <c r="A130">
        <v>1538</v>
      </c>
      <c r="B130" t="s">
        <v>673</v>
      </c>
      <c r="C130">
        <v>5.3</v>
      </c>
      <c r="Y130" s="46"/>
      <c r="Z130" s="46"/>
      <c r="AD130" s="46"/>
    </row>
    <row r="131" spans="1:30">
      <c r="A131">
        <v>1539</v>
      </c>
      <c r="B131" t="s">
        <v>674</v>
      </c>
      <c r="C131">
        <v>34.9</v>
      </c>
      <c r="Y131" s="46"/>
      <c r="Z131" s="46"/>
      <c r="AD131" s="46"/>
    </row>
    <row r="132" spans="1:30">
      <c r="A132">
        <v>1540</v>
      </c>
      <c r="B132" t="s">
        <v>675</v>
      </c>
      <c r="C132">
        <v>16.8</v>
      </c>
      <c r="Y132" s="46"/>
      <c r="Z132" s="46"/>
      <c r="AD132" s="46"/>
    </row>
    <row r="133" spans="1:30">
      <c r="A133">
        <v>1541</v>
      </c>
      <c r="B133" t="s">
        <v>676</v>
      </c>
      <c r="C133">
        <v>53</v>
      </c>
      <c r="Y133" s="46"/>
      <c r="Z133" s="46"/>
      <c r="AD133" s="46"/>
    </row>
    <row r="134" spans="1:30">
      <c r="A134">
        <v>1558</v>
      </c>
      <c r="B134" t="s">
        <v>677</v>
      </c>
      <c r="C134">
        <v>145</v>
      </c>
      <c r="Y134" s="46"/>
      <c r="Z134" s="46"/>
      <c r="AD134" s="46"/>
    </row>
    <row r="135" spans="1:30">
      <c r="A135">
        <v>1560</v>
      </c>
      <c r="B135" t="s">
        <v>678</v>
      </c>
      <c r="C135">
        <v>55</v>
      </c>
      <c r="Y135" s="46"/>
      <c r="Z135" s="46"/>
      <c r="AD135" s="46"/>
    </row>
    <row r="136" spans="1:30">
      <c r="A136">
        <v>1568</v>
      </c>
      <c r="B136" t="s">
        <v>679</v>
      </c>
      <c r="C136">
        <v>20.399999999999999</v>
      </c>
      <c r="Y136" s="46"/>
      <c r="Z136" s="46"/>
      <c r="AD136" s="46"/>
    </row>
    <row r="137" spans="1:30">
      <c r="A137">
        <v>1582</v>
      </c>
      <c r="B137" t="s">
        <v>680</v>
      </c>
      <c r="C137">
        <v>52.9</v>
      </c>
      <c r="Y137" s="46"/>
      <c r="Z137" s="46"/>
      <c r="AA137" s="46"/>
      <c r="AD137" s="46"/>
    </row>
    <row r="138" spans="1:30">
      <c r="A138">
        <v>1583</v>
      </c>
      <c r="B138" t="s">
        <v>681</v>
      </c>
      <c r="C138">
        <v>69</v>
      </c>
      <c r="Y138" s="46"/>
      <c r="Z138" s="46"/>
      <c r="AD138" s="46"/>
    </row>
    <row r="139" spans="1:30">
      <c r="A139">
        <v>1589</v>
      </c>
      <c r="B139" t="s">
        <v>682</v>
      </c>
      <c r="C139">
        <v>189</v>
      </c>
      <c r="Y139" s="46"/>
      <c r="Z139" s="46"/>
      <c r="AD139" s="46"/>
    </row>
    <row r="140" spans="1:30">
      <c r="A140">
        <v>1590</v>
      </c>
      <c r="B140" t="s">
        <v>683</v>
      </c>
      <c r="C140">
        <v>152.5</v>
      </c>
      <c r="Y140" s="46"/>
      <c r="Z140" s="46"/>
      <c r="AD140" s="46"/>
    </row>
    <row r="141" spans="1:30">
      <c r="A141">
        <v>1592</v>
      </c>
      <c r="B141" t="s">
        <v>684</v>
      </c>
      <c r="C141">
        <v>30.1</v>
      </c>
      <c r="Y141" s="46"/>
      <c r="Z141" s="46"/>
      <c r="AD141" s="46"/>
    </row>
    <row r="142" spans="1:30">
      <c r="A142">
        <v>1604</v>
      </c>
      <c r="B142" t="s">
        <v>686</v>
      </c>
      <c r="C142">
        <v>12.5</v>
      </c>
      <c r="Y142" s="46"/>
      <c r="Z142" s="46"/>
      <c r="AD142" s="46"/>
    </row>
    <row r="143" spans="1:30">
      <c r="A143">
        <v>1605</v>
      </c>
      <c r="B143" t="s">
        <v>687</v>
      </c>
      <c r="C143">
        <v>7.17</v>
      </c>
      <c r="Y143" s="46"/>
      <c r="Z143" s="46"/>
      <c r="AD143" s="46"/>
    </row>
    <row r="144" spans="1:30">
      <c r="A144">
        <v>1608</v>
      </c>
      <c r="B144" t="s">
        <v>688</v>
      </c>
      <c r="C144">
        <v>6.8</v>
      </c>
      <c r="Y144" s="46"/>
      <c r="Z144" s="46"/>
      <c r="AD144" s="46"/>
    </row>
    <row r="145" spans="1:30">
      <c r="A145">
        <v>1609</v>
      </c>
      <c r="B145" t="s">
        <v>689</v>
      </c>
      <c r="C145">
        <v>4.67</v>
      </c>
      <c r="Y145" s="46"/>
      <c r="Z145" s="46"/>
      <c r="AD145" s="46"/>
    </row>
    <row r="146" spans="1:30">
      <c r="A146">
        <v>1611</v>
      </c>
      <c r="B146" t="s">
        <v>690</v>
      </c>
      <c r="C146">
        <v>7.72</v>
      </c>
      <c r="Y146" s="46"/>
      <c r="Z146" s="46"/>
      <c r="AA146" s="46"/>
      <c r="AD146" s="46"/>
    </row>
    <row r="147" spans="1:30">
      <c r="A147">
        <v>1612</v>
      </c>
      <c r="B147" t="s">
        <v>691</v>
      </c>
      <c r="C147">
        <v>8.52</v>
      </c>
      <c r="Y147" s="46"/>
      <c r="Z147" s="46"/>
      <c r="AA147" s="46"/>
      <c r="AD147" s="46"/>
    </row>
    <row r="148" spans="1:30">
      <c r="A148">
        <v>1613</v>
      </c>
      <c r="B148" t="s">
        <v>692</v>
      </c>
      <c r="C148">
        <v>3.15</v>
      </c>
      <c r="Y148" s="46"/>
      <c r="Z148" s="46"/>
      <c r="AD148" s="46"/>
    </row>
    <row r="149" spans="1:30">
      <c r="A149">
        <v>1614</v>
      </c>
      <c r="B149" t="s">
        <v>693</v>
      </c>
      <c r="C149">
        <v>26.35</v>
      </c>
      <c r="Y149" s="46"/>
      <c r="Z149" s="46"/>
      <c r="AD149" s="46"/>
    </row>
    <row r="150" spans="1:30">
      <c r="A150">
        <v>1615</v>
      </c>
      <c r="B150" t="s">
        <v>694</v>
      </c>
      <c r="C150">
        <v>9.89</v>
      </c>
      <c r="Y150" s="46"/>
      <c r="Z150" s="46"/>
      <c r="AD150" s="46"/>
    </row>
    <row r="151" spans="1:30">
      <c r="A151">
        <v>1616</v>
      </c>
      <c r="B151" t="s">
        <v>695</v>
      </c>
      <c r="C151">
        <v>4.5999999999999996</v>
      </c>
      <c r="Y151" s="46"/>
      <c r="Z151" s="46"/>
      <c r="AD151" s="46"/>
    </row>
    <row r="152" spans="1:30">
      <c r="A152">
        <v>1617</v>
      </c>
      <c r="B152" t="s">
        <v>696</v>
      </c>
      <c r="C152">
        <v>6.83</v>
      </c>
      <c r="Y152" s="46"/>
      <c r="Z152" s="46"/>
      <c r="AA152" s="46"/>
      <c r="AD152" s="46"/>
    </row>
    <row r="153" spans="1:30">
      <c r="A153">
        <v>1618</v>
      </c>
      <c r="B153" t="s">
        <v>697</v>
      </c>
      <c r="C153">
        <v>6.97</v>
      </c>
      <c r="Y153" s="46"/>
      <c r="Z153" s="46"/>
      <c r="AD153" s="46"/>
    </row>
    <row r="154" spans="1:30">
      <c r="A154">
        <v>1626</v>
      </c>
      <c r="B154" t="s">
        <v>698</v>
      </c>
      <c r="C154">
        <v>23.55</v>
      </c>
      <c r="Y154" s="46"/>
      <c r="Z154" s="46"/>
      <c r="AD154" s="46"/>
    </row>
    <row r="155" spans="1:30">
      <c r="A155">
        <v>1701</v>
      </c>
      <c r="B155" t="s">
        <v>699</v>
      </c>
      <c r="C155">
        <v>19.899999999999999</v>
      </c>
      <c r="Y155" s="46"/>
      <c r="Z155" s="46"/>
      <c r="AD155" s="46"/>
    </row>
    <row r="156" spans="1:30">
      <c r="A156">
        <v>1702</v>
      </c>
      <c r="B156" t="s">
        <v>700</v>
      </c>
      <c r="C156">
        <v>70.099999999999994</v>
      </c>
      <c r="Y156" s="46"/>
      <c r="Z156" s="46"/>
      <c r="AD156" s="46"/>
    </row>
    <row r="157" spans="1:30">
      <c r="A157">
        <v>1704</v>
      </c>
      <c r="B157" t="s">
        <v>701</v>
      </c>
      <c r="C157">
        <v>29.75</v>
      </c>
      <c r="Y157" s="46"/>
      <c r="Z157" s="46"/>
      <c r="AD157" s="46"/>
    </row>
    <row r="158" spans="1:30">
      <c r="A158">
        <v>1707</v>
      </c>
      <c r="B158" t="s">
        <v>702</v>
      </c>
      <c r="C158">
        <v>191</v>
      </c>
      <c r="Y158" s="46"/>
      <c r="Z158" s="46"/>
      <c r="AA158" s="46"/>
      <c r="AD158" s="46"/>
    </row>
    <row r="159" spans="1:30">
      <c r="A159">
        <v>1708</v>
      </c>
      <c r="B159" t="s">
        <v>703</v>
      </c>
      <c r="C159">
        <v>35</v>
      </c>
      <c r="Y159" s="46"/>
      <c r="Z159" s="46"/>
      <c r="AD159" s="46"/>
    </row>
    <row r="160" spans="1:30">
      <c r="A160">
        <v>1709</v>
      </c>
      <c r="B160" t="s">
        <v>704</v>
      </c>
      <c r="C160">
        <v>14.55</v>
      </c>
      <c r="Y160" s="46"/>
      <c r="Z160" s="46"/>
      <c r="AD160" s="46"/>
    </row>
    <row r="161" spans="1:30">
      <c r="A161">
        <v>1710</v>
      </c>
      <c r="B161" t="s">
        <v>705</v>
      </c>
      <c r="C161">
        <v>22.5</v>
      </c>
      <c r="Y161" s="46"/>
      <c r="Z161" s="46"/>
      <c r="AD161" s="46"/>
    </row>
    <row r="162" spans="1:30">
      <c r="A162">
        <v>1711</v>
      </c>
      <c r="B162" t="s">
        <v>706</v>
      </c>
      <c r="C162">
        <v>22.15</v>
      </c>
      <c r="Y162" s="46"/>
      <c r="Z162" s="46"/>
      <c r="AA162" s="46"/>
      <c r="AD162" s="46"/>
    </row>
    <row r="163" spans="1:30">
      <c r="A163">
        <v>1712</v>
      </c>
      <c r="B163" t="s">
        <v>707</v>
      </c>
      <c r="C163">
        <v>14.05</v>
      </c>
      <c r="Y163" s="46"/>
      <c r="Z163" s="46"/>
      <c r="AD163" s="46"/>
    </row>
    <row r="164" spans="1:30">
      <c r="A164">
        <v>1713</v>
      </c>
      <c r="B164" t="s">
        <v>708</v>
      </c>
      <c r="C164">
        <v>15.35</v>
      </c>
      <c r="Y164" s="46"/>
      <c r="Z164" s="46"/>
      <c r="AD164" s="46"/>
    </row>
    <row r="165" spans="1:30">
      <c r="A165">
        <v>1714</v>
      </c>
      <c r="B165" t="s">
        <v>709</v>
      </c>
      <c r="C165">
        <v>7.72</v>
      </c>
      <c r="Y165" s="46"/>
      <c r="Z165" s="46"/>
      <c r="AA165" s="46"/>
      <c r="AD165" s="46"/>
    </row>
    <row r="166" spans="1:30">
      <c r="A166">
        <v>1715</v>
      </c>
      <c r="B166" t="s">
        <v>710</v>
      </c>
      <c r="C166">
        <v>12.15</v>
      </c>
      <c r="Y166" s="46"/>
      <c r="Z166" s="46"/>
      <c r="AA166" s="46"/>
      <c r="AD166" s="46"/>
    </row>
    <row r="167" spans="1:30">
      <c r="A167">
        <v>1717</v>
      </c>
      <c r="B167" t="s">
        <v>711</v>
      </c>
      <c r="C167">
        <v>31.3</v>
      </c>
      <c r="Y167" s="46"/>
      <c r="Z167" s="46"/>
      <c r="AA167" s="46"/>
      <c r="AD167" s="46"/>
    </row>
    <row r="168" spans="1:30">
      <c r="A168">
        <v>1718</v>
      </c>
      <c r="B168" t="s">
        <v>712</v>
      </c>
      <c r="C168">
        <v>8.76</v>
      </c>
      <c r="Y168" s="46"/>
      <c r="Z168" s="46"/>
      <c r="AA168" s="46"/>
      <c r="AD168" s="46"/>
    </row>
    <row r="169" spans="1:30">
      <c r="A169">
        <v>1720</v>
      </c>
      <c r="B169" t="s">
        <v>713</v>
      </c>
      <c r="C169">
        <v>41.75</v>
      </c>
      <c r="Y169" s="46"/>
      <c r="Z169" s="46"/>
      <c r="AA169" s="46"/>
      <c r="AD169" s="46"/>
    </row>
    <row r="170" spans="1:30">
      <c r="A170">
        <v>1721</v>
      </c>
      <c r="B170" t="s">
        <v>714</v>
      </c>
      <c r="C170">
        <v>12.4</v>
      </c>
      <c r="Y170" s="46"/>
      <c r="Z170" s="46"/>
      <c r="AA170" s="46"/>
      <c r="AD170" s="46"/>
    </row>
    <row r="171" spans="1:30">
      <c r="A171">
        <v>1722</v>
      </c>
      <c r="B171" t="s">
        <v>715</v>
      </c>
      <c r="C171">
        <v>41.5</v>
      </c>
      <c r="Y171" s="46"/>
      <c r="Z171" s="46"/>
      <c r="AA171" s="46"/>
      <c r="AD171" s="46"/>
    </row>
    <row r="172" spans="1:30">
      <c r="A172">
        <v>1723</v>
      </c>
      <c r="B172" t="s">
        <v>716</v>
      </c>
      <c r="C172">
        <v>114.5</v>
      </c>
      <c r="Y172" s="46"/>
      <c r="Z172" s="46"/>
      <c r="AD172" s="46"/>
    </row>
    <row r="173" spans="1:30">
      <c r="A173">
        <v>1724</v>
      </c>
      <c r="B173" t="s">
        <v>717</v>
      </c>
      <c r="C173">
        <v>15.05</v>
      </c>
      <c r="Y173" s="46"/>
      <c r="Z173" s="46"/>
      <c r="AD173" s="46"/>
    </row>
    <row r="174" spans="1:30">
      <c r="A174">
        <v>1725</v>
      </c>
      <c r="B174" t="s">
        <v>718</v>
      </c>
      <c r="C174">
        <v>14.55</v>
      </c>
      <c r="Y174" s="46"/>
      <c r="Z174" s="46"/>
      <c r="AD174" s="46"/>
    </row>
    <row r="175" spans="1:30">
      <c r="A175">
        <v>1726</v>
      </c>
      <c r="B175" t="s">
        <v>719</v>
      </c>
      <c r="C175">
        <v>68.900000000000006</v>
      </c>
      <c r="Y175" s="46"/>
      <c r="Z175" s="46"/>
      <c r="AD175" s="46"/>
    </row>
    <row r="176" spans="1:30">
      <c r="A176">
        <v>1727</v>
      </c>
      <c r="B176" t="s">
        <v>720</v>
      </c>
      <c r="C176">
        <v>15.8</v>
      </c>
      <c r="Y176" s="46"/>
      <c r="Z176" s="46"/>
      <c r="AD176" s="46"/>
    </row>
    <row r="177" spans="1:30">
      <c r="A177">
        <v>1729</v>
      </c>
      <c r="B177" t="s">
        <v>721</v>
      </c>
      <c r="C177">
        <v>74</v>
      </c>
      <c r="Y177" s="46"/>
      <c r="Z177" s="46"/>
      <c r="AD177" s="46"/>
    </row>
    <row r="178" spans="1:30">
      <c r="A178">
        <v>1730</v>
      </c>
      <c r="B178" t="s">
        <v>722</v>
      </c>
      <c r="C178">
        <v>36.049999999999997</v>
      </c>
      <c r="Y178" s="46"/>
      <c r="Z178" s="46"/>
      <c r="AD178" s="46"/>
    </row>
    <row r="179" spans="1:30">
      <c r="A179">
        <v>1731</v>
      </c>
      <c r="B179" t="s">
        <v>723</v>
      </c>
      <c r="C179">
        <v>15.35</v>
      </c>
      <c r="Y179" s="46"/>
      <c r="Z179" s="46"/>
      <c r="AD179" s="46"/>
    </row>
    <row r="180" spans="1:30">
      <c r="A180">
        <v>1732</v>
      </c>
      <c r="B180" t="s">
        <v>724</v>
      </c>
      <c r="C180">
        <v>13.2</v>
      </c>
      <c r="Y180" s="46"/>
      <c r="Z180" s="46"/>
      <c r="AD180" s="46"/>
    </row>
    <row r="181" spans="1:30">
      <c r="A181">
        <v>1733</v>
      </c>
      <c r="B181" t="s">
        <v>725</v>
      </c>
      <c r="C181">
        <v>52</v>
      </c>
      <c r="Y181" s="46"/>
      <c r="Z181" s="46"/>
      <c r="AD181" s="46"/>
    </row>
    <row r="182" spans="1:30">
      <c r="A182">
        <v>1734</v>
      </c>
      <c r="B182" t="s">
        <v>726</v>
      </c>
      <c r="C182">
        <v>30.85</v>
      </c>
      <c r="Y182" s="46"/>
      <c r="Z182" s="46"/>
      <c r="AD182" s="46"/>
    </row>
    <row r="183" spans="1:30">
      <c r="A183">
        <v>1735</v>
      </c>
      <c r="B183" t="s">
        <v>727</v>
      </c>
      <c r="C183">
        <v>11.95</v>
      </c>
      <c r="Y183" s="46"/>
      <c r="Z183" s="46"/>
      <c r="AD183" s="46"/>
    </row>
    <row r="184" spans="1:30">
      <c r="A184">
        <v>1736</v>
      </c>
      <c r="B184" t="s">
        <v>728</v>
      </c>
      <c r="C184">
        <v>54.4</v>
      </c>
      <c r="Y184" s="46"/>
      <c r="Z184" s="46"/>
      <c r="AD184" s="46"/>
    </row>
    <row r="185" spans="1:30">
      <c r="A185">
        <v>1737</v>
      </c>
      <c r="B185" t="s">
        <v>729</v>
      </c>
      <c r="C185">
        <v>26</v>
      </c>
      <c r="Y185" s="46"/>
      <c r="Z185" s="46"/>
      <c r="AD185" s="46"/>
    </row>
    <row r="186" spans="1:30">
      <c r="A186">
        <v>1762</v>
      </c>
      <c r="B186" t="s">
        <v>730</v>
      </c>
      <c r="C186">
        <v>40.049999999999997</v>
      </c>
      <c r="Y186" s="46"/>
      <c r="Z186" s="46"/>
      <c r="AD186" s="46"/>
    </row>
    <row r="187" spans="1:30">
      <c r="A187">
        <v>1773</v>
      </c>
      <c r="B187" t="s">
        <v>731</v>
      </c>
      <c r="C187">
        <v>41.3</v>
      </c>
      <c r="Y187" s="46"/>
      <c r="Z187" s="46"/>
      <c r="AD187" s="46"/>
    </row>
    <row r="188" spans="1:30">
      <c r="A188">
        <v>1783</v>
      </c>
      <c r="B188" t="s">
        <v>732</v>
      </c>
      <c r="C188">
        <v>26.2</v>
      </c>
      <c r="Y188" s="46"/>
      <c r="Z188" s="46"/>
      <c r="AD188" s="46"/>
    </row>
    <row r="189" spans="1:30">
      <c r="A189">
        <v>1786</v>
      </c>
      <c r="B189" t="s">
        <v>733</v>
      </c>
      <c r="C189">
        <v>61.7</v>
      </c>
      <c r="Y189" s="46"/>
      <c r="Z189" s="46"/>
      <c r="AA189" s="46"/>
      <c r="AD189" s="46"/>
    </row>
    <row r="190" spans="1:30">
      <c r="A190">
        <v>1789</v>
      </c>
      <c r="B190" t="s">
        <v>734</v>
      </c>
      <c r="C190">
        <v>55</v>
      </c>
      <c r="Y190" s="46"/>
      <c r="Z190" s="46"/>
      <c r="AA190" s="46"/>
      <c r="AD190" s="46"/>
    </row>
    <row r="191" spans="1:30">
      <c r="A191">
        <v>1802</v>
      </c>
      <c r="B191" t="s">
        <v>735</v>
      </c>
      <c r="C191">
        <v>12.4</v>
      </c>
      <c r="Y191" s="46"/>
      <c r="Z191" s="46"/>
      <c r="AD191" s="46"/>
    </row>
    <row r="192" spans="1:30">
      <c r="A192">
        <v>1805</v>
      </c>
      <c r="B192" t="s">
        <v>736</v>
      </c>
      <c r="C192">
        <v>7.55</v>
      </c>
      <c r="Y192" s="46"/>
      <c r="Z192" s="46"/>
      <c r="AA192" s="46"/>
      <c r="AD192" s="46"/>
    </row>
    <row r="193" spans="1:30">
      <c r="A193">
        <v>1806</v>
      </c>
      <c r="B193" t="s">
        <v>737</v>
      </c>
      <c r="C193">
        <v>7.03</v>
      </c>
      <c r="Y193" s="46"/>
      <c r="Z193" s="46"/>
      <c r="AD193" s="46"/>
    </row>
    <row r="194" spans="1:30">
      <c r="A194">
        <v>1808</v>
      </c>
      <c r="B194" t="s">
        <v>738</v>
      </c>
      <c r="C194">
        <v>27.05</v>
      </c>
      <c r="Y194" s="46"/>
      <c r="Z194" s="46"/>
      <c r="AD194" s="46"/>
    </row>
    <row r="195" spans="1:30">
      <c r="A195">
        <v>1809</v>
      </c>
      <c r="B195" t="s">
        <v>739</v>
      </c>
      <c r="C195">
        <v>10.199999999999999</v>
      </c>
      <c r="Y195" s="46"/>
      <c r="Z195" s="46"/>
      <c r="AD195" s="46"/>
    </row>
    <row r="196" spans="1:30">
      <c r="A196">
        <v>1810</v>
      </c>
      <c r="B196" t="s">
        <v>740</v>
      </c>
      <c r="C196">
        <v>8.25</v>
      </c>
      <c r="Y196" s="46"/>
      <c r="Z196" s="46"/>
      <c r="AD196" s="46"/>
    </row>
    <row r="197" spans="1:30">
      <c r="A197">
        <v>1817</v>
      </c>
      <c r="B197" t="s">
        <v>741</v>
      </c>
      <c r="C197">
        <v>42.55</v>
      </c>
      <c r="Y197" s="46"/>
      <c r="Z197" s="46"/>
      <c r="AD197" s="46"/>
    </row>
    <row r="198" spans="1:30">
      <c r="A198">
        <v>1902</v>
      </c>
      <c r="B198" t="s">
        <v>742</v>
      </c>
      <c r="C198">
        <v>10.75</v>
      </c>
      <c r="Y198" s="46"/>
      <c r="Z198" s="46"/>
      <c r="AD198" s="46"/>
    </row>
    <row r="199" spans="1:30">
      <c r="A199">
        <v>1903</v>
      </c>
      <c r="B199" t="s">
        <v>743</v>
      </c>
      <c r="C199">
        <v>30.2</v>
      </c>
      <c r="Y199" s="46"/>
      <c r="Z199" s="46"/>
      <c r="AD199" s="46"/>
    </row>
    <row r="200" spans="1:30">
      <c r="A200">
        <v>1904</v>
      </c>
      <c r="B200" t="s">
        <v>744</v>
      </c>
      <c r="C200">
        <v>11.5</v>
      </c>
      <c r="Y200" s="46"/>
      <c r="Z200" s="46"/>
      <c r="AD200" s="46"/>
    </row>
    <row r="201" spans="1:30">
      <c r="A201">
        <v>1905</v>
      </c>
      <c r="B201" t="s">
        <v>1855</v>
      </c>
      <c r="C201">
        <v>9.99</v>
      </c>
      <c r="Y201" s="46"/>
      <c r="Z201" s="46"/>
      <c r="AD201" s="46"/>
    </row>
    <row r="202" spans="1:30">
      <c r="A202">
        <v>1906</v>
      </c>
      <c r="B202" t="s">
        <v>745</v>
      </c>
      <c r="C202">
        <v>7.47</v>
      </c>
      <c r="Y202" s="46"/>
      <c r="Z202" s="46"/>
      <c r="AD202" s="46"/>
    </row>
    <row r="203" spans="1:30">
      <c r="A203">
        <v>1907</v>
      </c>
      <c r="B203" t="s">
        <v>746</v>
      </c>
      <c r="C203">
        <v>10.95</v>
      </c>
      <c r="Y203" s="46"/>
      <c r="Z203" s="46"/>
      <c r="AA203" s="46"/>
      <c r="AD203" s="46"/>
    </row>
    <row r="204" spans="1:30">
      <c r="A204">
        <v>1909</v>
      </c>
      <c r="B204" t="s">
        <v>747</v>
      </c>
      <c r="C204">
        <v>11.35</v>
      </c>
      <c r="Y204" s="46"/>
      <c r="Z204" s="46"/>
      <c r="AD204" s="46"/>
    </row>
    <row r="205" spans="1:30">
      <c r="A205">
        <v>2002</v>
      </c>
      <c r="B205" t="s">
        <v>748</v>
      </c>
      <c r="C205">
        <v>18.7</v>
      </c>
      <c r="Y205" s="46"/>
      <c r="Z205" s="46"/>
      <c r="AD205" s="46"/>
    </row>
    <row r="206" spans="1:30">
      <c r="A206" t="s">
        <v>260</v>
      </c>
      <c r="B206" t="s">
        <v>749</v>
      </c>
      <c r="C206">
        <v>39.4</v>
      </c>
      <c r="Y206" s="46"/>
      <c r="Z206" s="46"/>
      <c r="AD206" s="46"/>
    </row>
    <row r="207" spans="1:30">
      <c r="A207">
        <v>2006</v>
      </c>
      <c r="B207" t="s">
        <v>750</v>
      </c>
      <c r="C207">
        <v>17.600000000000001</v>
      </c>
      <c r="Y207" s="46"/>
      <c r="Z207" s="46"/>
      <c r="AD207" s="46"/>
    </row>
    <row r="208" spans="1:30">
      <c r="A208">
        <v>2007</v>
      </c>
      <c r="B208" t="s">
        <v>751</v>
      </c>
      <c r="C208">
        <v>4.47</v>
      </c>
      <c r="Y208" s="46"/>
      <c r="Z208" s="46"/>
      <c r="AD208" s="46"/>
    </row>
    <row r="209" spans="1:30">
      <c r="A209">
        <v>2008</v>
      </c>
      <c r="B209" t="s">
        <v>752</v>
      </c>
      <c r="C209">
        <v>8.61</v>
      </c>
      <c r="Y209" s="46"/>
      <c r="Z209" s="46"/>
      <c r="AA209" s="46"/>
      <c r="AD209" s="46"/>
    </row>
    <row r="210" spans="1:30">
      <c r="A210">
        <v>2009</v>
      </c>
      <c r="B210" t="s">
        <v>753</v>
      </c>
      <c r="C210">
        <v>6.75</v>
      </c>
      <c r="Y210" s="46"/>
      <c r="Z210" s="46"/>
      <c r="AD210" s="46"/>
    </row>
    <row r="211" spans="1:30">
      <c r="A211">
        <v>2010</v>
      </c>
      <c r="B211" t="s">
        <v>754</v>
      </c>
      <c r="C211">
        <v>9.0500000000000007</v>
      </c>
      <c r="Y211" s="46"/>
      <c r="Z211" s="46"/>
      <c r="AD211" s="46"/>
    </row>
    <row r="212" spans="1:30">
      <c r="A212">
        <v>2012</v>
      </c>
      <c r="B212" t="s">
        <v>755</v>
      </c>
      <c r="C212">
        <v>14</v>
      </c>
      <c r="Y212" s="46"/>
      <c r="Z212" s="46"/>
      <c r="AD212" s="46"/>
    </row>
    <row r="213" spans="1:30">
      <c r="A213">
        <v>2013</v>
      </c>
      <c r="B213" t="s">
        <v>756</v>
      </c>
      <c r="C213">
        <v>18.850000000000001</v>
      </c>
      <c r="Y213" s="46"/>
      <c r="Z213" s="46"/>
      <c r="AD213" s="46"/>
    </row>
    <row r="214" spans="1:30">
      <c r="A214">
        <v>2014</v>
      </c>
      <c r="B214" t="s">
        <v>757</v>
      </c>
      <c r="C214">
        <v>4.53</v>
      </c>
      <c r="Y214" s="46"/>
      <c r="Z214" s="46"/>
      <c r="AD214" s="46"/>
    </row>
    <row r="215" spans="1:30">
      <c r="A215">
        <v>2015</v>
      </c>
      <c r="B215" t="s">
        <v>758</v>
      </c>
      <c r="C215">
        <v>37.9</v>
      </c>
      <c r="Y215" s="46"/>
      <c r="Z215" s="46"/>
      <c r="AD215" s="46"/>
    </row>
    <row r="216" spans="1:30">
      <c r="A216">
        <v>2017</v>
      </c>
      <c r="B216" t="s">
        <v>759</v>
      </c>
      <c r="C216">
        <v>5.47</v>
      </c>
      <c r="Y216" s="46"/>
      <c r="Z216" s="46"/>
      <c r="AD216" s="46"/>
    </row>
    <row r="217" spans="1:30">
      <c r="A217">
        <v>2020</v>
      </c>
      <c r="B217" t="s">
        <v>760</v>
      </c>
      <c r="C217">
        <v>12.9</v>
      </c>
      <c r="Y217" s="46"/>
      <c r="Z217" s="46"/>
      <c r="AD217" s="46"/>
    </row>
    <row r="218" spans="1:30">
      <c r="A218">
        <v>2022</v>
      </c>
      <c r="B218" t="s">
        <v>761</v>
      </c>
      <c r="C218">
        <v>3.73</v>
      </c>
      <c r="Y218" s="46"/>
      <c r="Z218" s="46"/>
      <c r="AD218" s="46"/>
    </row>
    <row r="219" spans="1:30">
      <c r="A219">
        <v>2023</v>
      </c>
      <c r="B219" t="s">
        <v>762</v>
      </c>
      <c r="C219">
        <v>7.38</v>
      </c>
      <c r="Y219" s="46"/>
      <c r="Z219" s="46"/>
      <c r="AA219" s="46"/>
      <c r="AD219" s="46"/>
    </row>
    <row r="220" spans="1:30">
      <c r="A220">
        <v>2024</v>
      </c>
      <c r="B220" t="s">
        <v>763</v>
      </c>
      <c r="C220">
        <v>6.72</v>
      </c>
      <c r="Y220" s="46"/>
      <c r="Z220" s="46"/>
      <c r="AD220" s="46"/>
    </row>
    <row r="221" spans="1:30">
      <c r="A221">
        <v>2025</v>
      </c>
      <c r="B221" t="s">
        <v>764</v>
      </c>
      <c r="C221">
        <v>1.8</v>
      </c>
      <c r="O221" s="46"/>
      <c r="Y221" s="46"/>
      <c r="Z221" s="46"/>
      <c r="AD221" s="46"/>
    </row>
    <row r="222" spans="1:30">
      <c r="A222">
        <v>2027</v>
      </c>
      <c r="B222" t="s">
        <v>765</v>
      </c>
      <c r="C222">
        <v>14.15</v>
      </c>
      <c r="Y222" s="46"/>
      <c r="Z222" s="46"/>
      <c r="AA222" s="46"/>
      <c r="AD222" s="46"/>
    </row>
    <row r="223" spans="1:30">
      <c r="A223">
        <v>2028</v>
      </c>
      <c r="B223" t="s">
        <v>766</v>
      </c>
      <c r="C223">
        <v>1.75</v>
      </c>
      <c r="Y223" s="46"/>
      <c r="Z223" s="46"/>
      <c r="AD223" s="46"/>
    </row>
    <row r="224" spans="1:30">
      <c r="A224">
        <v>2029</v>
      </c>
      <c r="B224" t="s">
        <v>767</v>
      </c>
      <c r="C224">
        <v>16.25</v>
      </c>
      <c r="Y224" s="46"/>
      <c r="Z224" s="46"/>
      <c r="AD224" s="46"/>
    </row>
    <row r="225" spans="1:30">
      <c r="A225">
        <v>2030</v>
      </c>
      <c r="B225" t="s">
        <v>768</v>
      </c>
      <c r="C225">
        <v>9.15</v>
      </c>
      <c r="Y225" s="46"/>
      <c r="Z225" s="46"/>
      <c r="AD225" s="46"/>
    </row>
    <row r="226" spans="1:30">
      <c r="A226">
        <v>2031</v>
      </c>
      <c r="B226" t="s">
        <v>769</v>
      </c>
      <c r="C226">
        <v>12.75</v>
      </c>
      <c r="Y226" s="46"/>
      <c r="Z226" s="46"/>
      <c r="AD226" s="46"/>
    </row>
    <row r="227" spans="1:30">
      <c r="A227">
        <v>2032</v>
      </c>
      <c r="B227" t="s">
        <v>770</v>
      </c>
      <c r="C227">
        <v>8.15</v>
      </c>
      <c r="Y227" s="46"/>
      <c r="Z227" s="46"/>
      <c r="AD227" s="46"/>
    </row>
    <row r="228" spans="1:30">
      <c r="A228">
        <v>2033</v>
      </c>
      <c r="B228" t="s">
        <v>771</v>
      </c>
      <c r="C228" t="s">
        <v>1904</v>
      </c>
      <c r="Y228" s="46"/>
      <c r="Z228" s="46"/>
      <c r="AA228" s="46"/>
      <c r="AD228" s="46"/>
    </row>
    <row r="229" spans="1:30">
      <c r="A229">
        <v>2034</v>
      </c>
      <c r="B229" t="s">
        <v>772</v>
      </c>
      <c r="C229">
        <v>18.899999999999999</v>
      </c>
      <c r="Y229" s="46"/>
      <c r="Z229" s="46"/>
      <c r="AA229" s="46"/>
      <c r="AD229" s="46"/>
    </row>
    <row r="230" spans="1:30">
      <c r="A230">
        <v>2038</v>
      </c>
      <c r="B230" t="s">
        <v>773</v>
      </c>
      <c r="C230">
        <v>5.63</v>
      </c>
      <c r="Y230" s="46"/>
      <c r="Z230" s="46"/>
      <c r="AA230" s="46"/>
      <c r="AD230" s="46"/>
    </row>
    <row r="231" spans="1:30">
      <c r="A231">
        <v>2049</v>
      </c>
      <c r="B231" t="s">
        <v>774</v>
      </c>
      <c r="C231">
        <v>161</v>
      </c>
      <c r="Y231" s="46"/>
      <c r="Z231" s="46"/>
      <c r="AA231" s="46"/>
      <c r="AD231" s="46"/>
    </row>
    <row r="232" spans="1:30">
      <c r="A232">
        <v>2059</v>
      </c>
      <c r="B232" t="s">
        <v>775</v>
      </c>
      <c r="C232">
        <v>392</v>
      </c>
      <c r="Y232" s="46"/>
      <c r="Z232" s="46"/>
      <c r="AD232" s="46"/>
    </row>
    <row r="233" spans="1:30">
      <c r="A233">
        <v>2062</v>
      </c>
      <c r="B233" t="s">
        <v>776</v>
      </c>
      <c r="C233">
        <v>44.9</v>
      </c>
      <c r="Y233" s="46"/>
      <c r="Z233" s="46"/>
      <c r="AA233" s="46"/>
      <c r="AD233" s="46"/>
    </row>
    <row r="234" spans="1:30">
      <c r="A234">
        <v>2101</v>
      </c>
      <c r="B234" t="s">
        <v>777</v>
      </c>
      <c r="C234">
        <v>28.4</v>
      </c>
      <c r="Y234" s="46"/>
      <c r="Z234" s="46"/>
      <c r="AA234" s="46"/>
      <c r="AD234" s="46"/>
    </row>
    <row r="235" spans="1:30">
      <c r="A235">
        <v>2102</v>
      </c>
      <c r="B235" t="s">
        <v>778</v>
      </c>
      <c r="C235">
        <v>15.15</v>
      </c>
      <c r="Y235" s="46"/>
      <c r="Z235" s="46"/>
      <c r="AA235" s="46"/>
      <c r="AD235" s="46"/>
    </row>
    <row r="236" spans="1:30">
      <c r="A236">
        <v>2103</v>
      </c>
      <c r="B236" t="s">
        <v>779</v>
      </c>
      <c r="C236">
        <v>21.95</v>
      </c>
      <c r="Y236" s="46"/>
      <c r="Z236" s="46"/>
      <c r="AA236" s="46"/>
      <c r="AD236" s="46"/>
    </row>
    <row r="237" spans="1:30">
      <c r="A237">
        <v>2104</v>
      </c>
      <c r="B237" t="s">
        <v>780</v>
      </c>
      <c r="C237">
        <v>25.2</v>
      </c>
      <c r="Y237" s="46"/>
      <c r="Z237" s="46"/>
      <c r="AD237" s="46"/>
    </row>
    <row r="238" spans="1:30">
      <c r="A238">
        <v>2105</v>
      </c>
      <c r="B238" t="s">
        <v>781</v>
      </c>
      <c r="C238">
        <v>56.4</v>
      </c>
      <c r="Y238" s="46"/>
      <c r="Z238" s="46"/>
      <c r="AA238" s="46"/>
      <c r="AD238" s="46"/>
    </row>
    <row r="239" spans="1:30">
      <c r="A239">
        <v>2106</v>
      </c>
      <c r="B239" t="s">
        <v>782</v>
      </c>
      <c r="C239">
        <v>51.9</v>
      </c>
      <c r="Y239" s="46"/>
      <c r="Z239" s="46"/>
      <c r="AD239" s="46"/>
    </row>
    <row r="240" spans="1:30">
      <c r="A240">
        <v>2107</v>
      </c>
      <c r="B240" t="s">
        <v>783</v>
      </c>
      <c r="C240">
        <v>17.899999999999999</v>
      </c>
      <c r="Y240" s="46"/>
      <c r="Z240" s="46"/>
      <c r="AD240" s="46"/>
    </row>
    <row r="241" spans="1:30">
      <c r="A241">
        <v>2108</v>
      </c>
      <c r="B241" t="s">
        <v>784</v>
      </c>
      <c r="C241">
        <v>28</v>
      </c>
      <c r="Y241" s="46"/>
      <c r="Z241" s="46"/>
      <c r="AD241" s="46"/>
    </row>
    <row r="242" spans="1:30">
      <c r="A242">
        <v>2109</v>
      </c>
      <c r="B242" t="s">
        <v>785</v>
      </c>
      <c r="C242">
        <v>12.3</v>
      </c>
      <c r="Y242" s="46"/>
      <c r="Z242" s="46"/>
      <c r="AA242" s="46"/>
      <c r="AD242" s="46"/>
    </row>
    <row r="243" spans="1:30">
      <c r="A243">
        <v>2114</v>
      </c>
      <c r="B243" t="s">
        <v>786</v>
      </c>
      <c r="C243">
        <v>77.8</v>
      </c>
      <c r="Y243" s="46"/>
      <c r="Z243" s="46"/>
      <c r="AA243" s="46"/>
      <c r="AD243" s="46"/>
    </row>
    <row r="244" spans="1:30">
      <c r="A244">
        <v>2115</v>
      </c>
      <c r="B244" t="s">
        <v>787</v>
      </c>
      <c r="C244">
        <v>44.8</v>
      </c>
      <c r="Y244" s="46"/>
      <c r="Z244" s="46"/>
      <c r="AA244" s="46"/>
      <c r="AD244" s="46"/>
    </row>
    <row r="245" spans="1:30">
      <c r="A245">
        <v>2201</v>
      </c>
      <c r="B245" t="s">
        <v>788</v>
      </c>
      <c r="C245">
        <v>32.950000000000003</v>
      </c>
      <c r="Y245" s="46"/>
      <c r="Z245" s="46"/>
      <c r="AA245" s="46"/>
      <c r="AD245" s="46"/>
    </row>
    <row r="246" spans="1:30">
      <c r="A246">
        <v>2204</v>
      </c>
      <c r="B246" t="s">
        <v>789</v>
      </c>
      <c r="C246">
        <v>21.55</v>
      </c>
      <c r="Y246" s="46"/>
      <c r="Z246" s="46"/>
      <c r="AA246" s="46"/>
      <c r="AD246" s="46"/>
    </row>
    <row r="247" spans="1:30">
      <c r="A247">
        <v>2206</v>
      </c>
      <c r="B247" t="s">
        <v>790</v>
      </c>
      <c r="C247">
        <v>22.2</v>
      </c>
      <c r="Y247" s="46"/>
      <c r="Z247" s="46"/>
      <c r="AA247" s="46"/>
      <c r="AD247" s="46"/>
    </row>
    <row r="248" spans="1:30">
      <c r="A248">
        <v>2207</v>
      </c>
      <c r="B248" t="s">
        <v>791</v>
      </c>
      <c r="C248">
        <v>347.5</v>
      </c>
      <c r="Y248" s="46"/>
      <c r="Z248" s="46"/>
      <c r="AA248" s="46"/>
      <c r="AD248" s="46"/>
    </row>
    <row r="249" spans="1:30">
      <c r="A249">
        <v>2208</v>
      </c>
      <c r="B249" t="s">
        <v>792</v>
      </c>
      <c r="C249">
        <v>13</v>
      </c>
      <c r="Y249" s="46"/>
      <c r="Z249" s="46"/>
      <c r="AA249" s="46"/>
      <c r="AD249" s="46"/>
    </row>
    <row r="250" spans="1:30">
      <c r="A250">
        <v>2227</v>
      </c>
      <c r="B250" t="s">
        <v>793</v>
      </c>
      <c r="C250">
        <v>261.5</v>
      </c>
      <c r="Y250" s="46"/>
      <c r="Z250" s="46"/>
      <c r="AD250" s="46"/>
    </row>
    <row r="251" spans="1:30">
      <c r="A251">
        <v>2228</v>
      </c>
      <c r="B251" t="s">
        <v>794</v>
      </c>
      <c r="C251">
        <v>160</v>
      </c>
      <c r="Y251" s="46"/>
      <c r="Z251" s="46"/>
      <c r="AD251" s="46"/>
    </row>
    <row r="252" spans="1:30">
      <c r="A252">
        <v>2231</v>
      </c>
      <c r="B252" t="s">
        <v>795</v>
      </c>
      <c r="C252">
        <v>389</v>
      </c>
      <c r="Y252" s="46"/>
      <c r="Z252" s="46"/>
      <c r="AA252" s="46"/>
      <c r="AD252" s="46"/>
    </row>
    <row r="253" spans="1:30">
      <c r="A253">
        <v>2236</v>
      </c>
      <c r="B253" t="s">
        <v>796</v>
      </c>
      <c r="C253">
        <v>38.6</v>
      </c>
      <c r="Y253" s="46"/>
      <c r="Z253" s="46"/>
      <c r="AD253" s="46"/>
    </row>
    <row r="254" spans="1:30">
      <c r="A254">
        <v>2301</v>
      </c>
      <c r="B254" t="s">
        <v>797</v>
      </c>
      <c r="C254">
        <v>35.15</v>
      </c>
      <c r="Y254" s="46"/>
      <c r="Z254" s="46"/>
      <c r="AA254" s="46"/>
      <c r="AD254" s="46"/>
    </row>
    <row r="255" spans="1:30">
      <c r="A255">
        <v>2302</v>
      </c>
      <c r="B255" t="s">
        <v>798</v>
      </c>
      <c r="C255">
        <v>6.46</v>
      </c>
      <c r="Y255" s="46"/>
      <c r="Z255" s="46"/>
      <c r="AA255" s="46"/>
      <c r="AD255" s="46"/>
    </row>
    <row r="256" spans="1:30">
      <c r="A256">
        <v>2303</v>
      </c>
      <c r="B256" t="s">
        <v>799</v>
      </c>
      <c r="C256">
        <v>12.4</v>
      </c>
      <c r="Y256" s="46"/>
      <c r="Z256" s="46"/>
      <c r="AA256" s="46"/>
      <c r="AD256" s="46"/>
    </row>
    <row r="257" spans="1:30">
      <c r="A257">
        <v>2305</v>
      </c>
      <c r="B257" t="s">
        <v>800</v>
      </c>
      <c r="C257">
        <v>6.04</v>
      </c>
      <c r="Y257" s="46"/>
      <c r="Z257" s="46"/>
      <c r="AA257" s="46"/>
      <c r="AD257" s="46"/>
    </row>
    <row r="258" spans="1:30">
      <c r="A258">
        <v>2308</v>
      </c>
      <c r="B258" t="s">
        <v>801</v>
      </c>
      <c r="C258">
        <v>158.5</v>
      </c>
      <c r="Y258" s="46"/>
      <c r="Z258" s="46"/>
      <c r="AA258" s="46"/>
      <c r="AD258" s="46"/>
    </row>
    <row r="259" spans="1:30">
      <c r="A259">
        <v>2311</v>
      </c>
      <c r="B259" t="s">
        <v>802</v>
      </c>
      <c r="C259">
        <v>36.15</v>
      </c>
      <c r="Y259" s="46"/>
      <c r="Z259" s="46"/>
      <c r="AA259" s="46"/>
      <c r="AD259" s="46"/>
    </row>
    <row r="260" spans="1:30">
      <c r="A260">
        <v>2312</v>
      </c>
      <c r="B260" t="s">
        <v>803</v>
      </c>
      <c r="C260">
        <v>9.8000000000000007</v>
      </c>
      <c r="Y260" s="46"/>
      <c r="Z260" s="46"/>
      <c r="AA260" s="46"/>
      <c r="AD260" s="46"/>
    </row>
    <row r="261" spans="1:30">
      <c r="A261">
        <v>2313</v>
      </c>
      <c r="B261" t="s">
        <v>804</v>
      </c>
      <c r="C261">
        <v>21.8</v>
      </c>
      <c r="Y261" s="46"/>
      <c r="Z261" s="46"/>
      <c r="AA261" s="46"/>
      <c r="AD261" s="46"/>
    </row>
    <row r="262" spans="1:30">
      <c r="A262">
        <v>2314</v>
      </c>
      <c r="B262" t="s">
        <v>805</v>
      </c>
      <c r="C262">
        <v>8.58</v>
      </c>
      <c r="Y262" s="46"/>
      <c r="Z262" s="46"/>
      <c r="AD262" s="46"/>
    </row>
    <row r="263" spans="1:30">
      <c r="A263">
        <v>2316</v>
      </c>
      <c r="B263" t="s">
        <v>806</v>
      </c>
      <c r="C263">
        <v>27.75</v>
      </c>
      <c r="Y263" s="46"/>
      <c r="Z263" s="46"/>
      <c r="AA263" s="46"/>
      <c r="AD263" s="46"/>
    </row>
    <row r="264" spans="1:30">
      <c r="A264">
        <v>2317</v>
      </c>
      <c r="B264" t="s">
        <v>807</v>
      </c>
      <c r="C264">
        <v>85.5</v>
      </c>
      <c r="Y264" s="46"/>
      <c r="Z264" s="46"/>
      <c r="AA264" s="46"/>
      <c r="AD264" s="46"/>
    </row>
    <row r="265" spans="1:30">
      <c r="A265">
        <v>2321</v>
      </c>
      <c r="B265" t="s">
        <v>808</v>
      </c>
      <c r="C265">
        <v>2.17</v>
      </c>
      <c r="Y265" s="46"/>
      <c r="Z265" s="46"/>
      <c r="AA265" s="46"/>
      <c r="AD265" s="46"/>
    </row>
    <row r="266" spans="1:30">
      <c r="A266">
        <v>2323</v>
      </c>
      <c r="B266" t="s">
        <v>809</v>
      </c>
      <c r="C266">
        <v>3.55</v>
      </c>
      <c r="Y266" s="46"/>
      <c r="Z266" s="46"/>
      <c r="AA266" s="46"/>
      <c r="AD266" s="46"/>
    </row>
    <row r="267" spans="1:30">
      <c r="A267">
        <v>2324</v>
      </c>
      <c r="B267" t="s">
        <v>810</v>
      </c>
      <c r="C267">
        <v>18.5</v>
      </c>
      <c r="Y267" s="46"/>
      <c r="Z267" s="46"/>
      <c r="AD267" s="46"/>
    </row>
    <row r="268" spans="1:30">
      <c r="A268">
        <v>2325</v>
      </c>
      <c r="B268" t="s">
        <v>811</v>
      </c>
      <c r="C268">
        <v>44.6</v>
      </c>
      <c r="Y268" s="46"/>
      <c r="Z268" s="46"/>
      <c r="AD268" s="46"/>
    </row>
    <row r="269" spans="1:30">
      <c r="A269">
        <v>2327</v>
      </c>
      <c r="B269" t="s">
        <v>812</v>
      </c>
      <c r="C269">
        <v>51.5</v>
      </c>
      <c r="Y269" s="46"/>
      <c r="Z269" s="46"/>
      <c r="AD269" s="46"/>
    </row>
    <row r="270" spans="1:30">
      <c r="A270">
        <v>2328</v>
      </c>
      <c r="B270" t="s">
        <v>813</v>
      </c>
      <c r="C270">
        <v>14.6</v>
      </c>
      <c r="Y270" s="46"/>
      <c r="Z270" s="46"/>
      <c r="AA270" s="46"/>
      <c r="AD270" s="46"/>
    </row>
    <row r="271" spans="1:30">
      <c r="A271">
        <v>2329</v>
      </c>
      <c r="B271" t="s">
        <v>814</v>
      </c>
      <c r="C271">
        <v>11.85</v>
      </c>
      <c r="Y271" s="46"/>
      <c r="Z271" s="46"/>
      <c r="AD271" s="46"/>
    </row>
    <row r="272" spans="1:30">
      <c r="A272">
        <v>2330</v>
      </c>
      <c r="B272" t="s">
        <v>815</v>
      </c>
      <c r="C272">
        <v>141</v>
      </c>
      <c r="M272" s="46"/>
      <c r="Y272" s="46"/>
      <c r="Z272" s="46"/>
      <c r="AD272" s="46"/>
    </row>
    <row r="273" spans="1:30">
      <c r="A273">
        <v>2331</v>
      </c>
      <c r="B273" t="s">
        <v>816</v>
      </c>
      <c r="C273">
        <v>22.75</v>
      </c>
      <c r="Y273" s="46"/>
      <c r="Z273" s="46"/>
      <c r="AD273" s="46"/>
    </row>
    <row r="274" spans="1:30">
      <c r="A274">
        <v>2332</v>
      </c>
      <c r="B274" t="s">
        <v>817</v>
      </c>
      <c r="C274">
        <v>10.3</v>
      </c>
      <c r="Y274" s="46"/>
      <c r="Z274" s="46"/>
      <c r="AD274" s="46"/>
    </row>
    <row r="275" spans="1:30">
      <c r="A275">
        <v>2337</v>
      </c>
      <c r="B275" t="s">
        <v>818</v>
      </c>
      <c r="C275">
        <v>4.78</v>
      </c>
      <c r="Y275" s="46"/>
      <c r="Z275" s="46"/>
      <c r="AD275" s="46"/>
    </row>
    <row r="276" spans="1:30">
      <c r="A276">
        <v>2338</v>
      </c>
      <c r="B276" t="s">
        <v>819</v>
      </c>
      <c r="C276">
        <v>7.7</v>
      </c>
      <c r="Y276" s="46"/>
      <c r="Z276" s="46"/>
      <c r="AD276" s="46"/>
    </row>
    <row r="277" spans="1:30">
      <c r="A277">
        <v>2340</v>
      </c>
      <c r="B277" t="s">
        <v>820</v>
      </c>
      <c r="C277">
        <v>10.35</v>
      </c>
      <c r="Y277" s="46"/>
      <c r="Z277" s="46"/>
      <c r="AD277" s="46"/>
    </row>
    <row r="278" spans="1:30">
      <c r="A278">
        <v>2342</v>
      </c>
      <c r="B278" t="s">
        <v>821</v>
      </c>
      <c r="C278">
        <v>2.52</v>
      </c>
      <c r="Y278" s="46"/>
      <c r="Z278" s="46"/>
      <c r="AD278" s="46"/>
    </row>
    <row r="279" spans="1:30">
      <c r="A279">
        <v>2344</v>
      </c>
      <c r="B279" t="s">
        <v>822</v>
      </c>
      <c r="C279">
        <v>7.77</v>
      </c>
      <c r="Y279" s="46"/>
      <c r="Z279" s="46"/>
      <c r="AD279" s="46"/>
    </row>
    <row r="280" spans="1:30">
      <c r="A280">
        <v>2345</v>
      </c>
      <c r="B280" t="s">
        <v>823</v>
      </c>
      <c r="C280">
        <v>25.05</v>
      </c>
      <c r="Y280" s="46"/>
      <c r="Z280" s="46"/>
      <c r="AD280" s="46"/>
    </row>
    <row r="281" spans="1:30">
      <c r="A281">
        <v>2347</v>
      </c>
      <c r="B281" t="s">
        <v>824</v>
      </c>
      <c r="C281">
        <v>31.25</v>
      </c>
      <c r="Y281" s="46"/>
      <c r="Z281" s="46"/>
      <c r="AA281" s="46"/>
      <c r="AD281" s="46"/>
    </row>
    <row r="282" spans="1:30">
      <c r="A282">
        <v>2348</v>
      </c>
      <c r="B282" t="s">
        <v>825</v>
      </c>
      <c r="C282" t="s">
        <v>1904</v>
      </c>
      <c r="Y282" s="46"/>
      <c r="Z282" s="46"/>
      <c r="AA282" s="46"/>
      <c r="AD282" s="46"/>
    </row>
    <row r="283" spans="1:30">
      <c r="A283">
        <v>2349</v>
      </c>
      <c r="B283" t="s">
        <v>826</v>
      </c>
      <c r="C283">
        <v>2.68</v>
      </c>
      <c r="Y283" s="46"/>
      <c r="Z283" s="46"/>
      <c r="AD283" s="46"/>
    </row>
    <row r="284" spans="1:30">
      <c r="A284">
        <v>2351</v>
      </c>
      <c r="B284" t="s">
        <v>827</v>
      </c>
      <c r="C284">
        <v>29.65</v>
      </c>
      <c r="Y284" s="46"/>
      <c r="Z284" s="46"/>
      <c r="AA284" s="46"/>
      <c r="AD284" s="46"/>
    </row>
    <row r="285" spans="1:30">
      <c r="A285">
        <v>2352</v>
      </c>
      <c r="B285" t="s">
        <v>828</v>
      </c>
      <c r="C285">
        <v>11.15</v>
      </c>
      <c r="Y285" s="46"/>
      <c r="Z285" s="46"/>
      <c r="AD285" s="46"/>
    </row>
    <row r="286" spans="1:30">
      <c r="A286">
        <v>2353</v>
      </c>
      <c r="B286" t="s">
        <v>829</v>
      </c>
      <c r="C286">
        <v>12.15</v>
      </c>
      <c r="Y286" s="46"/>
      <c r="Z286" s="46"/>
      <c r="AD286" s="46"/>
    </row>
    <row r="287" spans="1:30">
      <c r="A287">
        <v>2354</v>
      </c>
      <c r="B287" t="s">
        <v>830</v>
      </c>
      <c r="C287">
        <v>76.3</v>
      </c>
      <c r="Y287" s="46"/>
      <c r="Z287" s="46"/>
      <c r="AD287" s="46"/>
    </row>
    <row r="288" spans="1:30">
      <c r="A288">
        <v>2355</v>
      </c>
      <c r="B288" t="s">
        <v>831</v>
      </c>
      <c r="C288">
        <v>50</v>
      </c>
      <c r="Y288" s="46"/>
      <c r="Z288" s="46"/>
      <c r="AD288" s="46"/>
    </row>
    <row r="289" spans="1:30">
      <c r="A289">
        <v>2356</v>
      </c>
      <c r="B289" t="s">
        <v>832</v>
      </c>
      <c r="C289">
        <v>18.100000000000001</v>
      </c>
      <c r="Y289" s="46"/>
      <c r="Z289" s="46"/>
      <c r="AD289" s="46"/>
    </row>
    <row r="290" spans="1:30">
      <c r="A290">
        <v>2357</v>
      </c>
      <c r="B290" t="s">
        <v>833</v>
      </c>
      <c r="C290">
        <v>275</v>
      </c>
      <c r="Y290" s="46"/>
      <c r="Z290" s="46"/>
      <c r="AD290" s="46"/>
    </row>
    <row r="291" spans="1:30">
      <c r="A291">
        <v>2358</v>
      </c>
      <c r="B291" t="s">
        <v>834</v>
      </c>
      <c r="C291">
        <v>8.6</v>
      </c>
      <c r="Y291" s="46"/>
      <c r="Z291" s="46"/>
      <c r="AD291" s="46"/>
    </row>
    <row r="292" spans="1:30">
      <c r="A292">
        <v>2359</v>
      </c>
      <c r="B292" t="s">
        <v>835</v>
      </c>
      <c r="C292">
        <v>14.9</v>
      </c>
      <c r="Y292" s="46"/>
      <c r="Z292" s="46"/>
      <c r="AD292" s="46"/>
    </row>
    <row r="293" spans="1:30">
      <c r="A293">
        <v>2360</v>
      </c>
      <c r="B293" t="s">
        <v>836</v>
      </c>
      <c r="C293">
        <v>57.3</v>
      </c>
      <c r="Y293" s="46"/>
      <c r="Z293" s="46"/>
      <c r="AD293" s="46"/>
    </row>
    <row r="294" spans="1:30">
      <c r="A294">
        <v>2361</v>
      </c>
      <c r="B294" t="s">
        <v>837</v>
      </c>
      <c r="C294" t="s">
        <v>1904</v>
      </c>
      <c r="O294" s="46"/>
      <c r="Y294" s="46"/>
      <c r="Z294" s="46"/>
      <c r="AA294" s="46"/>
      <c r="AD294" s="46"/>
    </row>
    <row r="295" spans="1:30">
      <c r="A295">
        <v>2362</v>
      </c>
      <c r="B295" t="s">
        <v>838</v>
      </c>
      <c r="C295">
        <v>32.299999999999997</v>
      </c>
      <c r="Y295" s="46"/>
      <c r="Z295" s="46"/>
      <c r="AA295" s="46"/>
      <c r="AD295" s="46"/>
    </row>
    <row r="296" spans="1:30">
      <c r="A296">
        <v>2363</v>
      </c>
      <c r="B296" t="s">
        <v>839</v>
      </c>
      <c r="C296">
        <v>6.65</v>
      </c>
      <c r="Y296" s="46"/>
      <c r="Z296" s="46"/>
      <c r="AA296" s="46"/>
      <c r="AD296" s="46"/>
    </row>
    <row r="297" spans="1:30">
      <c r="A297">
        <v>2364</v>
      </c>
      <c r="B297" t="s">
        <v>840</v>
      </c>
      <c r="C297">
        <v>2.65</v>
      </c>
      <c r="Y297" s="46"/>
      <c r="Z297" s="46"/>
      <c r="AA297" s="46"/>
      <c r="AD297" s="46"/>
    </row>
    <row r="298" spans="1:30">
      <c r="A298">
        <v>2365</v>
      </c>
      <c r="B298" t="s">
        <v>841</v>
      </c>
      <c r="C298">
        <v>9.1199999999999992</v>
      </c>
      <c r="Y298" s="46"/>
      <c r="Z298" s="46"/>
      <c r="AD298" s="46"/>
    </row>
    <row r="299" spans="1:30">
      <c r="A299">
        <v>2367</v>
      </c>
      <c r="B299" t="s">
        <v>842</v>
      </c>
      <c r="C299">
        <v>12.1</v>
      </c>
      <c r="Y299" s="46"/>
      <c r="Z299" s="46"/>
      <c r="AD299" s="46"/>
    </row>
    <row r="300" spans="1:30">
      <c r="A300">
        <v>2368</v>
      </c>
      <c r="B300" t="s">
        <v>843</v>
      </c>
      <c r="C300">
        <v>10.1</v>
      </c>
      <c r="Y300" s="46"/>
      <c r="Z300" s="46"/>
      <c r="AD300" s="46"/>
    </row>
    <row r="301" spans="1:30">
      <c r="A301">
        <v>2369</v>
      </c>
      <c r="B301" t="s">
        <v>844</v>
      </c>
      <c r="C301">
        <v>9.7100000000000009</v>
      </c>
      <c r="Y301" s="46"/>
      <c r="Z301" s="46"/>
      <c r="AD301" s="46"/>
    </row>
    <row r="302" spans="1:30">
      <c r="A302">
        <v>2371</v>
      </c>
      <c r="B302" t="s">
        <v>845</v>
      </c>
      <c r="C302">
        <v>5.6</v>
      </c>
      <c r="Y302" s="46"/>
      <c r="Z302" s="46"/>
      <c r="AD302" s="46"/>
    </row>
    <row r="303" spans="1:30">
      <c r="A303">
        <v>2373</v>
      </c>
      <c r="B303" t="s">
        <v>846</v>
      </c>
      <c r="C303">
        <v>51.9</v>
      </c>
      <c r="Y303" s="46"/>
      <c r="Z303" s="46"/>
      <c r="AD303" s="46"/>
    </row>
    <row r="304" spans="1:30">
      <c r="A304">
        <v>2374</v>
      </c>
      <c r="B304" t="s">
        <v>847</v>
      </c>
      <c r="C304">
        <v>23.55</v>
      </c>
      <c r="Y304" s="46"/>
      <c r="Z304" s="46"/>
      <c r="AD304" s="46"/>
    </row>
    <row r="305" spans="1:30">
      <c r="A305">
        <v>2375</v>
      </c>
      <c r="B305" t="s">
        <v>848</v>
      </c>
      <c r="C305">
        <v>14.6</v>
      </c>
      <c r="Y305" s="46"/>
      <c r="Z305" s="46"/>
      <c r="AD305" s="46"/>
    </row>
    <row r="306" spans="1:30">
      <c r="A306">
        <v>2376</v>
      </c>
      <c r="B306" t="s">
        <v>849</v>
      </c>
      <c r="C306">
        <v>34.9</v>
      </c>
      <c r="Y306" s="46"/>
      <c r="Z306" s="46"/>
      <c r="AD306" s="46"/>
    </row>
    <row r="307" spans="1:30">
      <c r="A307">
        <v>2377</v>
      </c>
      <c r="B307" t="s">
        <v>850</v>
      </c>
      <c r="C307">
        <v>41.55</v>
      </c>
      <c r="Y307" s="46"/>
      <c r="Z307" s="46"/>
      <c r="AD307" s="46"/>
    </row>
    <row r="308" spans="1:30">
      <c r="A308">
        <v>2379</v>
      </c>
      <c r="B308" t="s">
        <v>851</v>
      </c>
      <c r="C308">
        <v>72.5</v>
      </c>
      <c r="Y308" s="46"/>
      <c r="Z308" s="46"/>
      <c r="AD308" s="46"/>
    </row>
    <row r="309" spans="1:30">
      <c r="A309">
        <v>2380</v>
      </c>
      <c r="B309" t="s">
        <v>852</v>
      </c>
      <c r="C309">
        <v>7.4</v>
      </c>
      <c r="Y309" s="46"/>
      <c r="Z309" s="46"/>
      <c r="AD309" s="46"/>
    </row>
    <row r="310" spans="1:30">
      <c r="A310">
        <v>2382</v>
      </c>
      <c r="B310" t="s">
        <v>853</v>
      </c>
      <c r="C310">
        <v>53.6</v>
      </c>
      <c r="Y310" s="46"/>
      <c r="Z310" s="46"/>
      <c r="AD310" s="46"/>
    </row>
    <row r="311" spans="1:30">
      <c r="A311">
        <v>2383</v>
      </c>
      <c r="B311" t="s">
        <v>854</v>
      </c>
      <c r="C311">
        <v>64.7</v>
      </c>
      <c r="Y311" s="46"/>
      <c r="Z311" s="46"/>
      <c r="AD311" s="46"/>
    </row>
    <row r="312" spans="1:30">
      <c r="A312">
        <v>2385</v>
      </c>
      <c r="B312" t="s">
        <v>855</v>
      </c>
      <c r="C312">
        <v>74.2</v>
      </c>
      <c r="Y312" s="46"/>
      <c r="Z312" s="46"/>
      <c r="AA312" s="46"/>
      <c r="AD312" s="46"/>
    </row>
    <row r="313" spans="1:30">
      <c r="A313">
        <v>2387</v>
      </c>
      <c r="B313" t="s">
        <v>856</v>
      </c>
      <c r="C313">
        <v>15.1</v>
      </c>
      <c r="Y313" s="46"/>
      <c r="Z313" s="46"/>
      <c r="AA313" s="46"/>
      <c r="AD313" s="46"/>
    </row>
    <row r="314" spans="1:30">
      <c r="A314">
        <v>2388</v>
      </c>
      <c r="B314" t="s">
        <v>857</v>
      </c>
      <c r="C314">
        <v>8.09</v>
      </c>
      <c r="Y314" s="46"/>
      <c r="Z314" s="46"/>
      <c r="AA314" s="46"/>
      <c r="AD314" s="46"/>
    </row>
    <row r="315" spans="1:30">
      <c r="A315">
        <v>2390</v>
      </c>
      <c r="B315" t="s">
        <v>858</v>
      </c>
      <c r="C315">
        <v>22.1</v>
      </c>
      <c r="Y315" s="46"/>
      <c r="Z315" s="46"/>
      <c r="AA315" s="46"/>
      <c r="AD315" s="46"/>
    </row>
    <row r="316" spans="1:30">
      <c r="A316">
        <v>2392</v>
      </c>
      <c r="B316" t="s">
        <v>859</v>
      </c>
      <c r="C316">
        <v>44.8</v>
      </c>
      <c r="Y316" s="46"/>
      <c r="Z316" s="46"/>
      <c r="AA316" s="46"/>
      <c r="AD316" s="46"/>
    </row>
    <row r="317" spans="1:30">
      <c r="A317">
        <v>2393</v>
      </c>
      <c r="B317" t="s">
        <v>860</v>
      </c>
      <c r="C317">
        <v>44.4</v>
      </c>
      <c r="Y317" s="46"/>
      <c r="Z317" s="46"/>
      <c r="AA317" s="46"/>
      <c r="AD317" s="46"/>
    </row>
    <row r="318" spans="1:30">
      <c r="A318">
        <v>2395</v>
      </c>
      <c r="B318" t="s">
        <v>861</v>
      </c>
      <c r="C318">
        <v>223.5</v>
      </c>
      <c r="Y318" s="46"/>
      <c r="Z318" s="46"/>
      <c r="AA318" s="46"/>
      <c r="AD318" s="46"/>
    </row>
    <row r="319" spans="1:30">
      <c r="A319">
        <v>2397</v>
      </c>
      <c r="B319" t="s">
        <v>862</v>
      </c>
      <c r="C319">
        <v>39.4</v>
      </c>
      <c r="Y319" s="46"/>
      <c r="Z319" s="46"/>
      <c r="AA319" s="46"/>
      <c r="AD319" s="46"/>
    </row>
    <row r="320" spans="1:30">
      <c r="A320">
        <v>2399</v>
      </c>
      <c r="B320" t="s">
        <v>863</v>
      </c>
      <c r="C320">
        <v>7.11</v>
      </c>
      <c r="Y320" s="46"/>
      <c r="Z320" s="46"/>
      <c r="AD320" s="46"/>
    </row>
    <row r="321" spans="1:30">
      <c r="A321">
        <v>2401</v>
      </c>
      <c r="B321" t="s">
        <v>864</v>
      </c>
      <c r="C321">
        <v>11.95</v>
      </c>
      <c r="Y321" s="46"/>
      <c r="Z321" s="46"/>
      <c r="AA321" s="46"/>
      <c r="AD321" s="46"/>
    </row>
    <row r="322" spans="1:30">
      <c r="A322">
        <v>2402</v>
      </c>
      <c r="B322" t="s">
        <v>865</v>
      </c>
      <c r="C322">
        <v>17.100000000000001</v>
      </c>
      <c r="Y322" s="46"/>
      <c r="Z322" s="46"/>
      <c r="AD322" s="46"/>
    </row>
    <row r="323" spans="1:30">
      <c r="A323">
        <v>2404</v>
      </c>
      <c r="B323" t="s">
        <v>866</v>
      </c>
      <c r="C323">
        <v>41.4</v>
      </c>
      <c r="Y323" s="46"/>
      <c r="Z323" s="46"/>
      <c r="AD323" s="46"/>
    </row>
    <row r="324" spans="1:30">
      <c r="A324">
        <v>2405</v>
      </c>
      <c r="B324" t="s">
        <v>867</v>
      </c>
      <c r="C324">
        <v>7.35</v>
      </c>
      <c r="Y324" s="46"/>
      <c r="Z324" s="46"/>
      <c r="AD324" s="46"/>
    </row>
    <row r="325" spans="1:30">
      <c r="A325">
        <v>2406</v>
      </c>
      <c r="B325" t="s">
        <v>868</v>
      </c>
      <c r="C325">
        <v>31.05</v>
      </c>
      <c r="Y325" s="46"/>
      <c r="Z325" s="46"/>
      <c r="AD325" s="46"/>
    </row>
    <row r="326" spans="1:30">
      <c r="A326">
        <v>2408</v>
      </c>
      <c r="B326" t="s">
        <v>869</v>
      </c>
      <c r="C326">
        <v>36.4</v>
      </c>
      <c r="Y326" s="46"/>
      <c r="Z326" s="46"/>
      <c r="AD326" s="46"/>
    </row>
    <row r="327" spans="1:30">
      <c r="A327">
        <v>2409</v>
      </c>
      <c r="B327" t="s">
        <v>870</v>
      </c>
      <c r="C327">
        <v>9.15</v>
      </c>
      <c r="Y327" s="46"/>
      <c r="Z327" s="46"/>
      <c r="AD327" s="46"/>
    </row>
    <row r="328" spans="1:30">
      <c r="A328">
        <v>2412</v>
      </c>
      <c r="B328" t="s">
        <v>871</v>
      </c>
      <c r="C328">
        <v>99.4</v>
      </c>
      <c r="Y328" s="46"/>
      <c r="Z328" s="46"/>
      <c r="AD328" s="46"/>
    </row>
    <row r="329" spans="1:30">
      <c r="A329">
        <v>2413</v>
      </c>
      <c r="B329" t="s">
        <v>872</v>
      </c>
      <c r="C329">
        <v>14.5</v>
      </c>
      <c r="Y329" s="46"/>
      <c r="Z329" s="46"/>
      <c r="AD329" s="46"/>
    </row>
    <row r="330" spans="1:30">
      <c r="A330">
        <v>2414</v>
      </c>
      <c r="B330" t="s">
        <v>873</v>
      </c>
      <c r="C330">
        <v>16.25</v>
      </c>
      <c r="Y330" s="46"/>
      <c r="Z330" s="46"/>
      <c r="AD330" s="46"/>
    </row>
    <row r="331" spans="1:30">
      <c r="A331">
        <v>2415</v>
      </c>
      <c r="B331" t="s">
        <v>874</v>
      </c>
      <c r="C331">
        <v>12.85</v>
      </c>
      <c r="Y331" s="46"/>
      <c r="Z331" s="46"/>
      <c r="AD331" s="46"/>
    </row>
    <row r="332" spans="1:30">
      <c r="A332">
        <v>2417</v>
      </c>
      <c r="B332" t="s">
        <v>875</v>
      </c>
      <c r="C332">
        <v>9.7100000000000009</v>
      </c>
      <c r="Y332" s="46"/>
      <c r="Z332" s="46"/>
      <c r="AA332" s="46"/>
      <c r="AD332" s="46"/>
    </row>
    <row r="333" spans="1:30">
      <c r="A333">
        <v>2419</v>
      </c>
      <c r="B333" t="s">
        <v>876</v>
      </c>
      <c r="C333">
        <v>13.85</v>
      </c>
      <c r="Y333" s="46"/>
      <c r="Z333" s="46"/>
      <c r="AA333" s="46"/>
      <c r="AD333" s="46"/>
    </row>
    <row r="334" spans="1:30">
      <c r="A334">
        <v>2420</v>
      </c>
      <c r="B334" t="s">
        <v>877</v>
      </c>
      <c r="C334">
        <v>44.2</v>
      </c>
      <c r="Y334" s="46"/>
      <c r="Z334" s="46"/>
      <c r="AD334" s="46"/>
    </row>
    <row r="335" spans="1:30">
      <c r="A335">
        <v>2421</v>
      </c>
      <c r="B335" t="s">
        <v>878</v>
      </c>
      <c r="C335">
        <v>17.05</v>
      </c>
      <c r="Y335" s="46"/>
      <c r="Z335" s="46"/>
      <c r="AA335" s="46"/>
      <c r="AD335" s="46"/>
    </row>
    <row r="336" spans="1:30">
      <c r="A336">
        <v>2423</v>
      </c>
      <c r="B336" t="s">
        <v>879</v>
      </c>
      <c r="C336">
        <v>16.75</v>
      </c>
      <c r="Y336" s="46"/>
      <c r="Z336" s="46"/>
      <c r="AA336" s="46"/>
      <c r="AD336" s="46"/>
    </row>
    <row r="337" spans="1:30">
      <c r="A337">
        <v>2424</v>
      </c>
      <c r="B337" t="s">
        <v>880</v>
      </c>
      <c r="C337">
        <v>31</v>
      </c>
      <c r="Y337" s="46"/>
      <c r="Z337" s="46"/>
      <c r="AA337" s="46"/>
      <c r="AD337" s="46"/>
    </row>
    <row r="338" spans="1:30">
      <c r="A338">
        <v>2425</v>
      </c>
      <c r="B338" t="s">
        <v>881</v>
      </c>
      <c r="C338">
        <v>21.1</v>
      </c>
      <c r="Y338" s="46"/>
      <c r="Z338" s="46"/>
      <c r="AA338" s="46"/>
      <c r="AD338" s="46"/>
    </row>
    <row r="339" spans="1:30">
      <c r="A339">
        <v>2426</v>
      </c>
      <c r="B339" t="s">
        <v>882</v>
      </c>
      <c r="C339">
        <v>16</v>
      </c>
      <c r="Y339" s="46"/>
      <c r="Z339" s="46"/>
      <c r="AA339" s="46"/>
      <c r="AD339" s="46"/>
    </row>
    <row r="340" spans="1:30">
      <c r="A340">
        <v>2427</v>
      </c>
      <c r="B340" t="s">
        <v>883</v>
      </c>
      <c r="C340">
        <v>6.31</v>
      </c>
      <c r="Y340" s="46"/>
      <c r="Z340" s="46"/>
      <c r="AD340" s="46"/>
    </row>
    <row r="341" spans="1:30">
      <c r="A341">
        <v>2428</v>
      </c>
      <c r="B341" t="s">
        <v>884</v>
      </c>
      <c r="C341">
        <v>50</v>
      </c>
      <c r="Y341" s="46"/>
      <c r="Z341" s="46"/>
      <c r="AA341" s="46"/>
      <c r="AD341" s="46"/>
    </row>
    <row r="342" spans="1:30">
      <c r="A342">
        <v>2429</v>
      </c>
      <c r="B342" t="s">
        <v>885</v>
      </c>
      <c r="C342" t="s">
        <v>1904</v>
      </c>
      <c r="Y342" s="46"/>
      <c r="Z342" s="46"/>
      <c r="AA342" s="46"/>
      <c r="AD342" s="46"/>
    </row>
    <row r="343" spans="1:30">
      <c r="A343">
        <v>2430</v>
      </c>
      <c r="B343" t="s">
        <v>886</v>
      </c>
      <c r="C343">
        <v>20.350000000000001</v>
      </c>
      <c r="Y343" s="46"/>
      <c r="Z343" s="46"/>
      <c r="AA343" s="46"/>
      <c r="AD343" s="46"/>
    </row>
    <row r="344" spans="1:30">
      <c r="A344">
        <v>2431</v>
      </c>
      <c r="B344" t="s">
        <v>887</v>
      </c>
      <c r="C344">
        <v>15.3</v>
      </c>
      <c r="Y344" s="46"/>
      <c r="Z344" s="46"/>
      <c r="AA344" s="46"/>
      <c r="AD344" s="46"/>
    </row>
    <row r="345" spans="1:30">
      <c r="A345">
        <v>2433</v>
      </c>
      <c r="B345" t="s">
        <v>888</v>
      </c>
      <c r="C345">
        <v>44.4</v>
      </c>
      <c r="Y345" s="46"/>
      <c r="Z345" s="46"/>
      <c r="AA345" s="46"/>
      <c r="AD345" s="46"/>
    </row>
    <row r="346" spans="1:30">
      <c r="A346">
        <v>2434</v>
      </c>
      <c r="B346" t="s">
        <v>889</v>
      </c>
      <c r="C346">
        <v>5.73</v>
      </c>
      <c r="Y346" s="46"/>
      <c r="Z346" s="46"/>
      <c r="AA346" s="46"/>
      <c r="AD346" s="46"/>
    </row>
    <row r="347" spans="1:30">
      <c r="A347">
        <v>2436</v>
      </c>
      <c r="B347" t="s">
        <v>890</v>
      </c>
      <c r="C347">
        <v>17.8</v>
      </c>
      <c r="Y347" s="46"/>
      <c r="Z347" s="46"/>
      <c r="AD347" s="46"/>
    </row>
    <row r="348" spans="1:30">
      <c r="A348">
        <v>2437</v>
      </c>
      <c r="B348" t="s">
        <v>891</v>
      </c>
      <c r="C348">
        <v>49.4</v>
      </c>
      <c r="Y348" s="46"/>
      <c r="Z348" s="46"/>
      <c r="AD348" s="46"/>
    </row>
    <row r="349" spans="1:30">
      <c r="A349">
        <v>2438</v>
      </c>
      <c r="B349" t="s">
        <v>892</v>
      </c>
      <c r="C349">
        <v>15.1</v>
      </c>
      <c r="Y349" s="46"/>
      <c r="Z349" s="46"/>
      <c r="AD349" s="46"/>
    </row>
    <row r="350" spans="1:30">
      <c r="A350">
        <v>2439</v>
      </c>
      <c r="B350" t="s">
        <v>893</v>
      </c>
      <c r="C350">
        <v>65</v>
      </c>
      <c r="Y350" s="46"/>
      <c r="Z350" s="46"/>
      <c r="AD350" s="46"/>
    </row>
    <row r="351" spans="1:30">
      <c r="A351">
        <v>2440</v>
      </c>
      <c r="B351" t="s">
        <v>894</v>
      </c>
      <c r="C351">
        <v>8.1</v>
      </c>
      <c r="Y351" s="46"/>
      <c r="Z351" s="46"/>
      <c r="AD351" s="46"/>
    </row>
    <row r="352" spans="1:30">
      <c r="A352">
        <v>2441</v>
      </c>
      <c r="B352" t="s">
        <v>895</v>
      </c>
      <c r="C352">
        <v>32.799999999999997</v>
      </c>
      <c r="Y352" s="46"/>
      <c r="Z352" s="46"/>
      <c r="AD352" s="46"/>
    </row>
    <row r="353" spans="1:30">
      <c r="A353">
        <v>2442</v>
      </c>
      <c r="B353" t="s">
        <v>896</v>
      </c>
      <c r="C353">
        <v>6.87</v>
      </c>
      <c r="Y353" s="46"/>
      <c r="Z353" s="46"/>
      <c r="AD353" s="46"/>
    </row>
    <row r="354" spans="1:30">
      <c r="A354">
        <v>2443</v>
      </c>
      <c r="B354" t="s">
        <v>897</v>
      </c>
      <c r="C354">
        <v>7.64</v>
      </c>
      <c r="Y354" s="46"/>
      <c r="Z354" s="46"/>
      <c r="AD354" s="46"/>
    </row>
    <row r="355" spans="1:30">
      <c r="A355">
        <v>2444</v>
      </c>
      <c r="B355" t="s">
        <v>898</v>
      </c>
      <c r="C355">
        <v>8.35</v>
      </c>
      <c r="Y355" s="46"/>
      <c r="Z355" s="46"/>
      <c r="AD355" s="46"/>
    </row>
    <row r="356" spans="1:30">
      <c r="A356">
        <v>2448</v>
      </c>
      <c r="B356" t="s">
        <v>899</v>
      </c>
      <c r="C356">
        <v>24.5</v>
      </c>
      <c r="Y356" s="46"/>
      <c r="Z356" s="46"/>
      <c r="AD356" s="46"/>
    </row>
    <row r="357" spans="1:30">
      <c r="A357">
        <v>2449</v>
      </c>
      <c r="B357" t="s">
        <v>900</v>
      </c>
      <c r="C357">
        <v>20.55</v>
      </c>
      <c r="Y357" s="46"/>
      <c r="Z357" s="46"/>
      <c r="AD357" s="46"/>
    </row>
    <row r="358" spans="1:30">
      <c r="A358">
        <v>2450</v>
      </c>
      <c r="B358" t="s">
        <v>901</v>
      </c>
      <c r="C358">
        <v>40.200000000000003</v>
      </c>
      <c r="Y358" s="46"/>
      <c r="Z358" s="46"/>
      <c r="AD358" s="46"/>
    </row>
    <row r="359" spans="1:30">
      <c r="A359">
        <v>2451</v>
      </c>
      <c r="B359" t="s">
        <v>902</v>
      </c>
      <c r="C359">
        <v>83.5</v>
      </c>
      <c r="Y359" s="46"/>
      <c r="Z359" s="46"/>
      <c r="AD359" s="46"/>
    </row>
    <row r="360" spans="1:30">
      <c r="A360">
        <v>2453</v>
      </c>
      <c r="B360" t="s">
        <v>903</v>
      </c>
      <c r="C360">
        <v>11.1</v>
      </c>
      <c r="Y360" s="46"/>
      <c r="Z360" s="46"/>
      <c r="AD360" s="46"/>
    </row>
    <row r="361" spans="1:30">
      <c r="A361">
        <v>2454</v>
      </c>
      <c r="B361" t="s">
        <v>904</v>
      </c>
      <c r="C361">
        <v>275</v>
      </c>
      <c r="Y361" s="46"/>
      <c r="Z361" s="46"/>
      <c r="AD361" s="46"/>
    </row>
    <row r="362" spans="1:30">
      <c r="A362">
        <v>2455</v>
      </c>
      <c r="B362" t="s">
        <v>905</v>
      </c>
      <c r="C362">
        <v>37.75</v>
      </c>
      <c r="Y362" s="46"/>
      <c r="Z362" s="46"/>
      <c r="AD362" s="46"/>
    </row>
    <row r="363" spans="1:30">
      <c r="A363">
        <v>2456</v>
      </c>
      <c r="B363" t="s">
        <v>906</v>
      </c>
      <c r="C363">
        <v>51.7</v>
      </c>
      <c r="Y363" s="46"/>
      <c r="Z363" s="46"/>
      <c r="AA363" s="46"/>
      <c r="AD363" s="46"/>
    </row>
    <row r="364" spans="1:30">
      <c r="A364">
        <v>2457</v>
      </c>
      <c r="B364" t="s">
        <v>907</v>
      </c>
      <c r="C364">
        <v>11</v>
      </c>
      <c r="Y364" s="46"/>
      <c r="Z364" s="46"/>
      <c r="AD364" s="46"/>
    </row>
    <row r="365" spans="1:30">
      <c r="A365">
        <v>2458</v>
      </c>
      <c r="B365" t="s">
        <v>908</v>
      </c>
      <c r="C365">
        <v>37.4</v>
      </c>
      <c r="Y365" s="46"/>
      <c r="Z365" s="46"/>
      <c r="AD365" s="46"/>
    </row>
    <row r="366" spans="1:30">
      <c r="A366">
        <v>2459</v>
      </c>
      <c r="B366" t="s">
        <v>909</v>
      </c>
      <c r="C366">
        <v>33.700000000000003</v>
      </c>
      <c r="Y366" s="46"/>
      <c r="Z366" s="46"/>
      <c r="AD366" s="46"/>
    </row>
    <row r="367" spans="1:30">
      <c r="A367">
        <v>2460</v>
      </c>
      <c r="B367" t="s">
        <v>910</v>
      </c>
      <c r="C367">
        <v>9.15</v>
      </c>
      <c r="Y367" s="46"/>
      <c r="Z367" s="46"/>
      <c r="AD367" s="46"/>
    </row>
    <row r="368" spans="1:30">
      <c r="A368">
        <v>2461</v>
      </c>
      <c r="B368" t="s">
        <v>911</v>
      </c>
      <c r="C368">
        <v>13.95</v>
      </c>
      <c r="Y368" s="46"/>
      <c r="Z368" s="46"/>
      <c r="AD368" s="46"/>
    </row>
    <row r="369" spans="1:30">
      <c r="A369">
        <v>2462</v>
      </c>
      <c r="B369" t="s">
        <v>912</v>
      </c>
      <c r="C369">
        <v>16</v>
      </c>
      <c r="Y369" s="46"/>
      <c r="Z369" s="46"/>
      <c r="AD369" s="46"/>
    </row>
    <row r="370" spans="1:30">
      <c r="A370">
        <v>2464</v>
      </c>
      <c r="B370" t="s">
        <v>913</v>
      </c>
      <c r="C370">
        <v>30.75</v>
      </c>
      <c r="Y370" s="46"/>
      <c r="Z370" s="46"/>
      <c r="AD370" s="46"/>
    </row>
    <row r="371" spans="1:30">
      <c r="A371">
        <v>2465</v>
      </c>
      <c r="B371" t="s">
        <v>914</v>
      </c>
      <c r="C371">
        <v>10.15</v>
      </c>
      <c r="Y371" s="46"/>
      <c r="Z371" s="46"/>
      <c r="AD371" s="46"/>
    </row>
    <row r="372" spans="1:30">
      <c r="A372">
        <v>2466</v>
      </c>
      <c r="B372" t="s">
        <v>915</v>
      </c>
      <c r="C372">
        <v>30.4</v>
      </c>
      <c r="Y372" s="46"/>
      <c r="Z372" s="46"/>
      <c r="AA372" s="46"/>
      <c r="AD372" s="46"/>
    </row>
    <row r="373" spans="1:30">
      <c r="A373">
        <v>2467</v>
      </c>
      <c r="B373" t="s">
        <v>916</v>
      </c>
      <c r="C373">
        <v>12.6</v>
      </c>
      <c r="Y373" s="46"/>
      <c r="Z373" s="46"/>
      <c r="AA373" s="46"/>
      <c r="AD373" s="46"/>
    </row>
    <row r="374" spans="1:30">
      <c r="A374">
        <v>2468</v>
      </c>
      <c r="B374" t="s">
        <v>917</v>
      </c>
      <c r="C374">
        <v>10.55</v>
      </c>
      <c r="Y374" s="46"/>
      <c r="Z374" s="46"/>
      <c r="AA374" s="46"/>
      <c r="AD374" s="46"/>
    </row>
    <row r="375" spans="1:30">
      <c r="A375">
        <v>2471</v>
      </c>
      <c r="B375" t="s">
        <v>918</v>
      </c>
      <c r="C375">
        <v>13.8</v>
      </c>
      <c r="Y375" s="46"/>
      <c r="Z375" s="46"/>
      <c r="AA375" s="46"/>
      <c r="AD375" s="46"/>
    </row>
    <row r="376" spans="1:30">
      <c r="A376">
        <v>2472</v>
      </c>
      <c r="B376" t="s">
        <v>1856</v>
      </c>
      <c r="C376">
        <v>28.8</v>
      </c>
      <c r="Y376" s="46"/>
      <c r="Z376" s="46"/>
      <c r="AA376" s="46"/>
      <c r="AD376" s="46"/>
    </row>
    <row r="377" spans="1:30">
      <c r="A377">
        <v>2474</v>
      </c>
      <c r="B377" t="s">
        <v>919</v>
      </c>
      <c r="C377">
        <v>320</v>
      </c>
      <c r="Y377" s="46"/>
      <c r="Z377" s="46"/>
      <c r="AA377" s="46"/>
      <c r="AD377" s="46"/>
    </row>
    <row r="378" spans="1:30">
      <c r="A378">
        <v>2475</v>
      </c>
      <c r="B378" t="s">
        <v>920</v>
      </c>
      <c r="C378">
        <v>0.7</v>
      </c>
      <c r="Y378" s="46"/>
      <c r="Z378" s="46"/>
      <c r="AD378" s="46"/>
    </row>
    <row r="379" spans="1:30">
      <c r="A379">
        <v>2476</v>
      </c>
      <c r="B379" t="s">
        <v>921</v>
      </c>
      <c r="C379">
        <v>22.8</v>
      </c>
      <c r="Y379" s="46"/>
      <c r="Z379" s="46"/>
      <c r="AD379" s="46"/>
    </row>
    <row r="380" spans="1:30">
      <c r="A380">
        <v>2477</v>
      </c>
      <c r="B380" t="s">
        <v>922</v>
      </c>
      <c r="C380">
        <v>12.5</v>
      </c>
      <c r="Y380" s="46"/>
      <c r="Z380" s="46"/>
      <c r="AA380" s="46"/>
      <c r="AD380" s="46"/>
    </row>
    <row r="381" spans="1:30">
      <c r="A381">
        <v>2478</v>
      </c>
      <c r="B381" t="s">
        <v>923</v>
      </c>
      <c r="C381">
        <v>14.65</v>
      </c>
      <c r="Y381" s="46"/>
      <c r="Z381" s="46"/>
      <c r="AA381" s="46"/>
      <c r="AD381" s="46"/>
    </row>
    <row r="382" spans="1:30">
      <c r="A382">
        <v>2480</v>
      </c>
      <c r="B382" t="s">
        <v>924</v>
      </c>
      <c r="C382">
        <v>25.1</v>
      </c>
      <c r="Y382" s="46"/>
      <c r="Z382" s="46"/>
      <c r="AA382" s="46"/>
      <c r="AD382" s="46"/>
    </row>
    <row r="383" spans="1:30">
      <c r="A383">
        <v>2481</v>
      </c>
      <c r="B383" t="s">
        <v>925</v>
      </c>
      <c r="C383">
        <v>14.9</v>
      </c>
      <c r="Y383" s="46"/>
      <c r="Z383" s="46"/>
      <c r="AA383" s="46"/>
      <c r="AD383" s="46"/>
    </row>
    <row r="384" spans="1:30">
      <c r="A384">
        <v>2482</v>
      </c>
      <c r="B384" t="s">
        <v>926</v>
      </c>
      <c r="C384">
        <v>13.9</v>
      </c>
      <c r="Y384" s="46"/>
      <c r="Z384" s="46"/>
      <c r="AD384" s="46"/>
    </row>
    <row r="385" spans="1:30">
      <c r="A385">
        <v>2483</v>
      </c>
      <c r="B385" t="s">
        <v>927</v>
      </c>
      <c r="C385">
        <v>20.6</v>
      </c>
      <c r="Y385" s="46"/>
      <c r="Z385" s="46"/>
      <c r="AD385" s="46"/>
    </row>
    <row r="386" spans="1:30">
      <c r="A386">
        <v>2484</v>
      </c>
      <c r="B386" t="s">
        <v>928</v>
      </c>
      <c r="C386">
        <v>21.2</v>
      </c>
      <c r="Y386" s="46"/>
      <c r="Z386" s="46"/>
      <c r="AA386" s="46"/>
      <c r="AD386" s="46"/>
    </row>
    <row r="387" spans="1:30">
      <c r="A387">
        <v>2485</v>
      </c>
      <c r="B387" t="s">
        <v>929</v>
      </c>
      <c r="C387">
        <v>47.3</v>
      </c>
      <c r="Y387" s="46"/>
      <c r="Z387" s="46"/>
      <c r="AA387" s="46"/>
      <c r="AD387" s="46"/>
    </row>
    <row r="388" spans="1:30">
      <c r="A388">
        <v>2486</v>
      </c>
      <c r="B388" t="s">
        <v>930</v>
      </c>
      <c r="C388">
        <v>10.5</v>
      </c>
      <c r="Y388" s="46"/>
      <c r="Z388" s="46"/>
      <c r="AD388" s="46"/>
    </row>
    <row r="389" spans="1:30">
      <c r="A389">
        <v>2488</v>
      </c>
      <c r="B389" t="s">
        <v>931</v>
      </c>
      <c r="C389">
        <v>28.05</v>
      </c>
      <c r="Y389" s="46"/>
      <c r="Z389" s="46"/>
      <c r="AD389" s="46"/>
    </row>
    <row r="390" spans="1:30">
      <c r="A390">
        <v>2489</v>
      </c>
      <c r="B390" t="s">
        <v>932</v>
      </c>
      <c r="C390">
        <v>15.95</v>
      </c>
      <c r="Y390" s="46"/>
      <c r="Z390" s="46"/>
      <c r="AD390" s="46"/>
    </row>
    <row r="391" spans="1:30">
      <c r="A391">
        <v>2491</v>
      </c>
      <c r="B391" t="s">
        <v>933</v>
      </c>
      <c r="C391">
        <v>7.05</v>
      </c>
      <c r="Y391" s="46"/>
      <c r="Z391" s="46"/>
      <c r="AD391" s="46"/>
    </row>
    <row r="392" spans="1:30">
      <c r="A392">
        <v>2492</v>
      </c>
      <c r="B392" t="s">
        <v>934</v>
      </c>
      <c r="C392">
        <v>17.55</v>
      </c>
      <c r="Y392" s="46"/>
      <c r="Z392" s="46"/>
      <c r="AA392" s="46"/>
      <c r="AD392" s="46"/>
    </row>
    <row r="393" spans="1:30">
      <c r="A393">
        <v>2493</v>
      </c>
      <c r="B393" t="s">
        <v>935</v>
      </c>
      <c r="C393">
        <v>23.8</v>
      </c>
      <c r="Y393" s="46"/>
      <c r="Z393" s="46"/>
      <c r="AA393" s="46"/>
      <c r="AD393" s="46"/>
    </row>
    <row r="394" spans="1:30">
      <c r="A394">
        <v>2495</v>
      </c>
      <c r="B394" t="s">
        <v>936</v>
      </c>
      <c r="C394">
        <v>14.2</v>
      </c>
      <c r="Y394" s="46"/>
      <c r="Z394" s="46"/>
      <c r="AA394" s="46"/>
      <c r="AD394" s="46"/>
    </row>
    <row r="395" spans="1:30">
      <c r="A395">
        <v>2496</v>
      </c>
      <c r="B395" t="s">
        <v>937</v>
      </c>
      <c r="C395">
        <v>12.85</v>
      </c>
      <c r="Y395" s="46"/>
      <c r="Z395" s="46"/>
      <c r="AA395" s="46"/>
      <c r="AD395" s="46"/>
    </row>
    <row r="396" spans="1:30">
      <c r="A396">
        <v>2497</v>
      </c>
      <c r="B396" t="s">
        <v>938</v>
      </c>
      <c r="C396">
        <v>41.6</v>
      </c>
      <c r="Y396" s="46"/>
      <c r="Z396" s="46"/>
      <c r="AA396" s="46"/>
      <c r="AD396" s="46"/>
    </row>
    <row r="397" spans="1:30">
      <c r="A397">
        <v>2498</v>
      </c>
      <c r="B397" t="s">
        <v>939</v>
      </c>
      <c r="C397">
        <v>84.5</v>
      </c>
      <c r="Y397" s="46"/>
      <c r="Z397" s="46"/>
      <c r="AA397" s="46"/>
      <c r="AD397" s="46"/>
    </row>
    <row r="398" spans="1:30">
      <c r="A398">
        <v>2499</v>
      </c>
      <c r="B398" t="s">
        <v>940</v>
      </c>
      <c r="C398">
        <v>19.5</v>
      </c>
      <c r="Y398" s="46"/>
      <c r="Z398" s="46"/>
      <c r="AA398" s="46"/>
      <c r="AD398" s="46"/>
    </row>
    <row r="399" spans="1:30">
      <c r="A399">
        <v>2501</v>
      </c>
      <c r="B399" t="s">
        <v>941</v>
      </c>
      <c r="C399">
        <v>13.7</v>
      </c>
      <c r="Y399" s="46"/>
      <c r="Z399" s="46"/>
      <c r="AD399" s="46"/>
    </row>
    <row r="400" spans="1:30">
      <c r="A400">
        <v>2504</v>
      </c>
      <c r="B400" t="s">
        <v>942</v>
      </c>
      <c r="C400">
        <v>9.52</v>
      </c>
      <c r="Y400" s="46"/>
      <c r="Z400" s="46"/>
      <c r="AA400" s="46"/>
      <c r="AD400" s="46"/>
    </row>
    <row r="401" spans="1:30">
      <c r="A401">
        <v>2505</v>
      </c>
      <c r="B401" t="s">
        <v>943</v>
      </c>
      <c r="C401">
        <v>11.15</v>
      </c>
      <c r="Y401" s="46"/>
      <c r="Z401" s="46"/>
      <c r="AA401" s="46"/>
      <c r="AD401" s="46"/>
    </row>
    <row r="402" spans="1:30">
      <c r="A402">
        <v>2506</v>
      </c>
      <c r="B402" t="s">
        <v>944</v>
      </c>
      <c r="C402">
        <v>16.100000000000001</v>
      </c>
      <c r="Y402" s="46"/>
      <c r="Z402" s="46"/>
      <c r="AA402" s="46"/>
      <c r="AD402" s="46"/>
    </row>
    <row r="403" spans="1:30">
      <c r="A403">
        <v>2509</v>
      </c>
      <c r="B403" t="s">
        <v>945</v>
      </c>
      <c r="C403">
        <v>22.5</v>
      </c>
      <c r="Y403" s="46"/>
      <c r="Z403" s="46"/>
      <c r="AA403" s="46"/>
      <c r="AD403" s="46"/>
    </row>
    <row r="404" spans="1:30">
      <c r="A404">
        <v>2511</v>
      </c>
      <c r="B404" t="s">
        <v>946</v>
      </c>
      <c r="C404">
        <v>9.32</v>
      </c>
      <c r="Y404" s="46"/>
      <c r="Z404" s="46"/>
      <c r="AD404" s="46"/>
    </row>
    <row r="405" spans="1:30">
      <c r="A405">
        <v>2514</v>
      </c>
      <c r="B405" t="s">
        <v>947</v>
      </c>
      <c r="C405">
        <v>20.5</v>
      </c>
      <c r="Y405" s="46"/>
      <c r="Z405" s="46"/>
      <c r="AD405" s="46"/>
    </row>
    <row r="406" spans="1:30">
      <c r="A406">
        <v>2515</v>
      </c>
      <c r="B406" t="s">
        <v>948</v>
      </c>
      <c r="C406">
        <v>7.22</v>
      </c>
      <c r="Y406" s="46"/>
      <c r="Z406" s="46"/>
      <c r="AA406" s="46"/>
      <c r="AD406" s="46"/>
    </row>
    <row r="407" spans="1:30">
      <c r="A407">
        <v>2516</v>
      </c>
      <c r="B407" t="s">
        <v>949</v>
      </c>
      <c r="C407">
        <v>6.54</v>
      </c>
      <c r="Y407" s="46"/>
      <c r="Z407" s="46"/>
      <c r="AA407" s="46"/>
      <c r="AD407" s="46"/>
    </row>
    <row r="408" spans="1:30">
      <c r="A408">
        <v>2520</v>
      </c>
      <c r="B408" t="s">
        <v>950</v>
      </c>
      <c r="C408">
        <v>16.45</v>
      </c>
      <c r="Y408" s="46"/>
      <c r="Z408" s="46"/>
      <c r="AD408" s="46"/>
    </row>
    <row r="409" spans="1:30">
      <c r="A409">
        <v>2524</v>
      </c>
      <c r="B409" t="s">
        <v>951</v>
      </c>
      <c r="C409">
        <v>17.649999999999999</v>
      </c>
      <c r="Y409" s="46"/>
      <c r="Z409" s="46"/>
      <c r="AD409" s="46"/>
    </row>
    <row r="410" spans="1:30">
      <c r="A410">
        <v>2527</v>
      </c>
      <c r="B410" t="s">
        <v>952</v>
      </c>
      <c r="C410">
        <v>16.3</v>
      </c>
      <c r="Y410" s="46"/>
      <c r="Z410" s="46"/>
      <c r="AA410" s="46"/>
      <c r="AD410" s="46"/>
    </row>
    <row r="411" spans="1:30">
      <c r="A411">
        <v>2528</v>
      </c>
      <c r="B411" t="s">
        <v>953</v>
      </c>
      <c r="C411">
        <v>9.43</v>
      </c>
      <c r="Y411" s="46"/>
      <c r="Z411" s="46"/>
      <c r="AA411" s="46"/>
      <c r="AD411" s="46"/>
    </row>
    <row r="412" spans="1:30">
      <c r="A412">
        <v>2530</v>
      </c>
      <c r="B412" t="s">
        <v>954</v>
      </c>
      <c r="C412">
        <v>16.75</v>
      </c>
      <c r="Y412" s="46"/>
      <c r="Z412" s="46"/>
      <c r="AA412" s="46"/>
      <c r="AD412" s="46"/>
    </row>
    <row r="413" spans="1:30">
      <c r="A413">
        <v>2534</v>
      </c>
      <c r="B413" t="s">
        <v>955</v>
      </c>
      <c r="C413">
        <v>16.75</v>
      </c>
      <c r="Y413" s="46"/>
      <c r="Z413" s="46"/>
      <c r="AA413" s="46"/>
      <c r="AD413" s="46"/>
    </row>
    <row r="414" spans="1:30">
      <c r="A414">
        <v>2535</v>
      </c>
      <c r="B414" t="s">
        <v>956</v>
      </c>
      <c r="C414">
        <v>14.4</v>
      </c>
      <c r="Y414" s="46"/>
      <c r="Z414" s="46"/>
      <c r="AD414" s="46"/>
    </row>
    <row r="415" spans="1:30">
      <c r="A415">
        <v>2536</v>
      </c>
      <c r="B415" t="s">
        <v>957</v>
      </c>
      <c r="C415">
        <v>22.25</v>
      </c>
      <c r="Y415" s="46"/>
      <c r="Z415" s="46"/>
      <c r="AA415" s="46"/>
      <c r="AD415" s="46"/>
    </row>
    <row r="416" spans="1:30">
      <c r="A416">
        <v>2537</v>
      </c>
      <c r="B416" t="s">
        <v>958</v>
      </c>
      <c r="C416">
        <v>8.19</v>
      </c>
      <c r="Y416" s="46"/>
      <c r="Z416" s="46"/>
      <c r="AA416" s="46"/>
      <c r="AD416" s="46"/>
    </row>
    <row r="417" spans="1:30">
      <c r="A417">
        <v>2538</v>
      </c>
      <c r="B417" t="s">
        <v>959</v>
      </c>
      <c r="C417">
        <v>16.45</v>
      </c>
      <c r="Y417" s="46"/>
      <c r="Z417" s="46"/>
      <c r="AD417" s="46"/>
    </row>
    <row r="418" spans="1:30">
      <c r="A418">
        <v>2539</v>
      </c>
      <c r="B418" t="s">
        <v>960</v>
      </c>
      <c r="C418">
        <v>23.45</v>
      </c>
      <c r="Y418" s="46"/>
      <c r="Z418" s="46"/>
      <c r="AD418" s="46"/>
    </row>
    <row r="419" spans="1:30">
      <c r="A419">
        <v>2540</v>
      </c>
      <c r="B419" t="s">
        <v>961</v>
      </c>
      <c r="C419" t="s">
        <v>1904</v>
      </c>
      <c r="Y419" s="46"/>
      <c r="Z419" s="46"/>
      <c r="AD419" s="46"/>
    </row>
    <row r="420" spans="1:30">
      <c r="A420">
        <v>2542</v>
      </c>
      <c r="B420" t="s">
        <v>962</v>
      </c>
      <c r="C420">
        <v>38.299999999999997</v>
      </c>
      <c r="Y420" s="46"/>
      <c r="Z420" s="46"/>
      <c r="AD420" s="46"/>
    </row>
    <row r="421" spans="1:30">
      <c r="A421">
        <v>2543</v>
      </c>
      <c r="B421" t="s">
        <v>963</v>
      </c>
      <c r="C421">
        <v>8.23</v>
      </c>
      <c r="Y421" s="46"/>
      <c r="Z421" s="46"/>
      <c r="AD421" s="46"/>
    </row>
    <row r="422" spans="1:30">
      <c r="A422">
        <v>2545</v>
      </c>
      <c r="B422" t="s">
        <v>964</v>
      </c>
      <c r="C422">
        <v>25.5</v>
      </c>
      <c r="Y422" s="46"/>
      <c r="Z422" s="46"/>
      <c r="AA422" s="46"/>
      <c r="AD422" s="46"/>
    </row>
    <row r="423" spans="1:30">
      <c r="A423">
        <v>2546</v>
      </c>
      <c r="B423" t="s">
        <v>965</v>
      </c>
      <c r="C423">
        <v>15.15</v>
      </c>
      <c r="Y423" s="46"/>
      <c r="Z423" s="46"/>
      <c r="AD423" s="46"/>
    </row>
    <row r="424" spans="1:30">
      <c r="A424">
        <v>2547</v>
      </c>
      <c r="B424" t="s">
        <v>966</v>
      </c>
      <c r="C424">
        <v>11.5</v>
      </c>
      <c r="Y424" s="46"/>
      <c r="Z424" s="46"/>
      <c r="AD424" s="46"/>
    </row>
    <row r="425" spans="1:30">
      <c r="A425">
        <v>2548</v>
      </c>
      <c r="B425" t="s">
        <v>967</v>
      </c>
      <c r="C425">
        <v>61.4</v>
      </c>
      <c r="Y425" s="46"/>
      <c r="Z425" s="46"/>
      <c r="AA425" s="46"/>
      <c r="AD425" s="46"/>
    </row>
    <row r="426" spans="1:30">
      <c r="A426">
        <v>2597</v>
      </c>
      <c r="B426" t="s">
        <v>968</v>
      </c>
      <c r="C426">
        <v>38.6</v>
      </c>
      <c r="Y426" s="46"/>
      <c r="Z426" s="46"/>
      <c r="AA426" s="46"/>
      <c r="AD426" s="46"/>
    </row>
    <row r="427" spans="1:30">
      <c r="A427">
        <v>2601</v>
      </c>
      <c r="B427" t="s">
        <v>969</v>
      </c>
      <c r="C427">
        <v>9.4499999999999993</v>
      </c>
      <c r="Y427" s="46"/>
      <c r="Z427" s="46"/>
      <c r="AA427" s="46"/>
      <c r="AD427" s="46"/>
    </row>
    <row r="428" spans="1:30">
      <c r="A428">
        <v>2603</v>
      </c>
      <c r="B428" t="s">
        <v>970</v>
      </c>
      <c r="C428">
        <v>13.15</v>
      </c>
      <c r="Y428" s="46"/>
      <c r="Z428" s="46"/>
      <c r="AA428" s="46"/>
      <c r="AD428" s="46"/>
    </row>
    <row r="429" spans="1:30">
      <c r="A429">
        <v>2605</v>
      </c>
      <c r="B429" t="s">
        <v>971</v>
      </c>
      <c r="C429">
        <v>18.100000000000001</v>
      </c>
      <c r="Y429" s="46"/>
      <c r="Z429" s="46"/>
      <c r="AA429" s="46"/>
      <c r="AD429" s="46"/>
    </row>
    <row r="430" spans="1:30">
      <c r="A430">
        <v>2606</v>
      </c>
      <c r="B430" t="s">
        <v>972</v>
      </c>
      <c r="C430">
        <v>29.2</v>
      </c>
      <c r="Y430" s="46"/>
      <c r="Z430" s="46"/>
      <c r="AA430" s="46"/>
      <c r="AD430" s="46"/>
    </row>
    <row r="431" spans="1:30">
      <c r="A431">
        <v>2607</v>
      </c>
      <c r="B431" t="s">
        <v>973</v>
      </c>
      <c r="C431">
        <v>13.25</v>
      </c>
      <c r="Y431" s="46"/>
      <c r="Z431" s="46"/>
      <c r="AA431" s="46"/>
      <c r="AD431" s="46"/>
    </row>
    <row r="432" spans="1:30">
      <c r="A432">
        <v>2608</v>
      </c>
      <c r="B432" t="s">
        <v>974</v>
      </c>
      <c r="C432">
        <v>39.35</v>
      </c>
      <c r="Y432" s="46"/>
      <c r="Z432" s="46"/>
      <c r="AA432" s="46"/>
      <c r="AD432" s="46"/>
    </row>
    <row r="433" spans="1:30">
      <c r="A433">
        <v>2609</v>
      </c>
      <c r="B433" t="s">
        <v>975</v>
      </c>
      <c r="C433">
        <v>8.64</v>
      </c>
      <c r="Y433" s="46"/>
      <c r="Z433" s="46"/>
      <c r="AA433" s="46"/>
      <c r="AD433" s="46"/>
    </row>
    <row r="434" spans="1:30">
      <c r="A434">
        <v>2610</v>
      </c>
      <c r="B434" t="s">
        <v>976</v>
      </c>
      <c r="C434">
        <v>11.3</v>
      </c>
      <c r="O434" s="46"/>
      <c r="Y434" s="46"/>
      <c r="Z434" s="46"/>
      <c r="AA434" s="46"/>
      <c r="AD434" s="46"/>
    </row>
    <row r="435" spans="1:30">
      <c r="A435">
        <v>2611</v>
      </c>
      <c r="B435" t="s">
        <v>977</v>
      </c>
      <c r="C435">
        <v>7.9</v>
      </c>
      <c r="Y435" s="46"/>
      <c r="Z435" s="46"/>
      <c r="AA435" s="46"/>
      <c r="AD435" s="46"/>
    </row>
    <row r="436" spans="1:30">
      <c r="A436">
        <v>2612</v>
      </c>
      <c r="B436" t="s">
        <v>978</v>
      </c>
      <c r="C436">
        <v>21.05</v>
      </c>
      <c r="Y436" s="46"/>
      <c r="Z436" s="46"/>
      <c r="AA436" s="46"/>
      <c r="AD436" s="46"/>
    </row>
    <row r="437" spans="1:30">
      <c r="A437">
        <v>2613</v>
      </c>
      <c r="B437" t="s">
        <v>979</v>
      </c>
      <c r="C437">
        <v>13.85</v>
      </c>
      <c r="Y437" s="46"/>
      <c r="Z437" s="46"/>
      <c r="AD437" s="46"/>
    </row>
    <row r="438" spans="1:30">
      <c r="A438">
        <v>2614</v>
      </c>
      <c r="B438" t="s">
        <v>980</v>
      </c>
      <c r="C438">
        <v>7.48</v>
      </c>
      <c r="M438" s="46"/>
      <c r="Y438" s="46"/>
      <c r="Z438" s="46"/>
      <c r="AD438" s="46"/>
    </row>
    <row r="439" spans="1:30">
      <c r="A439">
        <v>2615</v>
      </c>
      <c r="B439" t="s">
        <v>981</v>
      </c>
      <c r="C439">
        <v>15.9</v>
      </c>
      <c r="M439" s="46"/>
      <c r="Y439" s="46"/>
      <c r="Z439" s="46"/>
      <c r="AD439" s="46"/>
    </row>
    <row r="440" spans="1:30">
      <c r="A440">
        <v>2616</v>
      </c>
      <c r="B440" t="s">
        <v>982</v>
      </c>
      <c r="C440">
        <v>22.9</v>
      </c>
      <c r="Y440" s="46"/>
      <c r="Z440" s="46"/>
      <c r="AD440" s="46"/>
    </row>
    <row r="441" spans="1:30">
      <c r="A441">
        <v>2617</v>
      </c>
      <c r="B441" t="s">
        <v>983</v>
      </c>
      <c r="C441">
        <v>12.5</v>
      </c>
      <c r="Y441" s="46"/>
      <c r="Z441" s="46"/>
      <c r="AD441" s="46"/>
    </row>
    <row r="442" spans="1:30">
      <c r="A442">
        <v>2618</v>
      </c>
      <c r="B442" t="s">
        <v>984</v>
      </c>
      <c r="C442">
        <v>17.649999999999999</v>
      </c>
      <c r="Y442" s="46"/>
      <c r="Z442" s="46"/>
      <c r="AD442" s="46"/>
    </row>
    <row r="443" spans="1:30">
      <c r="A443">
        <v>2634</v>
      </c>
      <c r="B443" t="s">
        <v>985</v>
      </c>
      <c r="C443">
        <v>41.6</v>
      </c>
      <c r="Y443" s="46"/>
      <c r="Z443" s="46"/>
      <c r="AD443" s="46"/>
    </row>
    <row r="444" spans="1:30">
      <c r="A444">
        <v>2637</v>
      </c>
      <c r="B444" t="s">
        <v>986</v>
      </c>
      <c r="C444">
        <v>35.799999999999997</v>
      </c>
      <c r="Y444" s="46"/>
      <c r="Z444" s="46"/>
      <c r="AD444" s="46"/>
    </row>
    <row r="445" spans="1:30">
      <c r="A445">
        <v>2642</v>
      </c>
      <c r="B445" t="s">
        <v>987</v>
      </c>
      <c r="C445">
        <v>30.05</v>
      </c>
      <c r="Y445" s="46"/>
      <c r="Z445" s="46"/>
      <c r="AD445" s="46"/>
    </row>
    <row r="446" spans="1:30">
      <c r="A446">
        <v>2701</v>
      </c>
      <c r="B446" t="s">
        <v>988</v>
      </c>
      <c r="C446">
        <v>14.3</v>
      </c>
      <c r="Y446" s="46"/>
      <c r="Z446" s="46"/>
      <c r="AD446" s="46"/>
    </row>
    <row r="447" spans="1:30">
      <c r="A447">
        <v>2702</v>
      </c>
      <c r="B447" t="s">
        <v>989</v>
      </c>
      <c r="C447">
        <v>15.2</v>
      </c>
      <c r="Y447" s="46"/>
      <c r="Z447" s="46"/>
      <c r="AD447" s="46"/>
    </row>
    <row r="448" spans="1:30">
      <c r="A448">
        <v>2704</v>
      </c>
      <c r="B448" t="s">
        <v>990</v>
      </c>
      <c r="C448">
        <v>27.85</v>
      </c>
      <c r="Y448" s="46"/>
      <c r="Z448" s="46"/>
      <c r="AD448" s="46"/>
    </row>
    <row r="449" spans="1:30">
      <c r="A449">
        <v>2705</v>
      </c>
      <c r="B449" t="s">
        <v>991</v>
      </c>
      <c r="C449">
        <v>10.45</v>
      </c>
      <c r="Y449" s="46"/>
      <c r="Z449" s="46"/>
      <c r="AD449" s="46"/>
    </row>
    <row r="450" spans="1:30">
      <c r="A450">
        <v>2706</v>
      </c>
      <c r="B450" t="s">
        <v>992</v>
      </c>
      <c r="C450">
        <v>19.25</v>
      </c>
      <c r="Y450" s="46"/>
      <c r="Z450" s="46"/>
      <c r="AD450" s="46"/>
    </row>
    <row r="451" spans="1:30">
      <c r="A451">
        <v>2707</v>
      </c>
      <c r="B451" t="s">
        <v>993</v>
      </c>
      <c r="C451">
        <v>225.5</v>
      </c>
      <c r="Y451" s="46"/>
      <c r="Z451" s="46"/>
      <c r="AD451" s="46"/>
    </row>
    <row r="452" spans="1:30">
      <c r="A452">
        <v>2712</v>
      </c>
      <c r="B452" t="s">
        <v>994</v>
      </c>
      <c r="C452" t="s">
        <v>1904</v>
      </c>
      <c r="Y452" s="46"/>
      <c r="Z452" s="46"/>
      <c r="AA452" s="46"/>
      <c r="AD452" s="46"/>
    </row>
    <row r="453" spans="1:30">
      <c r="A453">
        <v>2722</v>
      </c>
      <c r="B453" t="s">
        <v>995</v>
      </c>
      <c r="C453" t="s">
        <v>1904</v>
      </c>
      <c r="Y453" s="46"/>
      <c r="Z453" s="46"/>
      <c r="AD453" s="46"/>
    </row>
    <row r="454" spans="1:30">
      <c r="A454">
        <v>2723</v>
      </c>
      <c r="B454" t="s">
        <v>996</v>
      </c>
      <c r="C454">
        <v>219.5</v>
      </c>
      <c r="Y454" s="46"/>
      <c r="Z454" s="46"/>
      <c r="AD454" s="46"/>
    </row>
    <row r="455" spans="1:30">
      <c r="A455">
        <v>2727</v>
      </c>
      <c r="B455" t="s">
        <v>997</v>
      </c>
      <c r="C455">
        <v>150</v>
      </c>
      <c r="Y455" s="46"/>
      <c r="Z455" s="46"/>
      <c r="AD455" s="46"/>
    </row>
    <row r="456" spans="1:30">
      <c r="A456">
        <v>2731</v>
      </c>
      <c r="B456" t="s">
        <v>998</v>
      </c>
      <c r="C456">
        <v>120</v>
      </c>
      <c r="Y456" s="46"/>
      <c r="Z456" s="46"/>
      <c r="AD456" s="46"/>
    </row>
    <row r="457" spans="1:30">
      <c r="A457">
        <v>2801</v>
      </c>
      <c r="B457" t="s">
        <v>999</v>
      </c>
      <c r="C457">
        <v>16.2</v>
      </c>
      <c r="Y457" s="46"/>
      <c r="Z457" s="46"/>
      <c r="AD457" s="46"/>
    </row>
    <row r="458" spans="1:30">
      <c r="A458">
        <v>2809</v>
      </c>
      <c r="B458" t="s">
        <v>1000</v>
      </c>
      <c r="C458">
        <v>23.5</v>
      </c>
      <c r="Y458" s="46"/>
      <c r="Z458" s="46"/>
      <c r="AD458" s="46"/>
    </row>
    <row r="459" spans="1:30">
      <c r="A459">
        <v>2812</v>
      </c>
      <c r="B459" t="s">
        <v>1001</v>
      </c>
      <c r="C459">
        <v>9.89</v>
      </c>
      <c r="Y459" s="46"/>
      <c r="Z459" s="46"/>
      <c r="AD459" s="46"/>
    </row>
    <row r="460" spans="1:30">
      <c r="A460">
        <v>2816</v>
      </c>
      <c r="B460" t="s">
        <v>1002</v>
      </c>
      <c r="C460">
        <v>16.100000000000001</v>
      </c>
      <c r="Y460" s="46"/>
      <c r="Z460" s="46"/>
      <c r="AD460" s="46"/>
    </row>
    <row r="461" spans="1:30">
      <c r="A461">
        <v>2820</v>
      </c>
      <c r="B461" t="s">
        <v>1003</v>
      </c>
      <c r="C461">
        <v>11.45</v>
      </c>
      <c r="Y461" s="46"/>
      <c r="Z461" s="46"/>
      <c r="AD461" s="46"/>
    </row>
    <row r="462" spans="1:30">
      <c r="A462">
        <v>2823</v>
      </c>
      <c r="B462" t="s">
        <v>1004</v>
      </c>
      <c r="C462">
        <v>26.8</v>
      </c>
      <c r="Y462" s="46"/>
      <c r="Z462" s="46"/>
      <c r="AD462" s="46"/>
    </row>
    <row r="463" spans="1:30">
      <c r="A463">
        <v>2832</v>
      </c>
      <c r="B463" t="s">
        <v>1005</v>
      </c>
      <c r="C463">
        <v>22.15</v>
      </c>
      <c r="Y463" s="46"/>
      <c r="Z463" s="46"/>
      <c r="AD463" s="46"/>
    </row>
    <row r="464" spans="1:30">
      <c r="A464">
        <v>2834</v>
      </c>
      <c r="B464" t="s">
        <v>1006</v>
      </c>
      <c r="C464">
        <v>8.18</v>
      </c>
      <c r="Y464" s="46"/>
      <c r="Z464" s="46"/>
      <c r="AA464" s="46"/>
      <c r="AD464" s="46"/>
    </row>
    <row r="465" spans="1:30">
      <c r="A465">
        <v>2836</v>
      </c>
      <c r="B465" t="s">
        <v>1007</v>
      </c>
      <c r="C465">
        <v>8.84</v>
      </c>
      <c r="Y465" s="46"/>
      <c r="Z465" s="46"/>
      <c r="AD465" s="46"/>
    </row>
    <row r="466" spans="1:30">
      <c r="A466">
        <v>2838</v>
      </c>
      <c r="B466" t="s">
        <v>1008</v>
      </c>
      <c r="C466">
        <v>9.52</v>
      </c>
      <c r="Y466" s="46"/>
      <c r="Z466" s="46"/>
      <c r="AD466" s="46"/>
    </row>
    <row r="467" spans="1:30">
      <c r="A467">
        <v>2841</v>
      </c>
      <c r="B467" t="s">
        <v>1009</v>
      </c>
      <c r="C467">
        <v>10.45</v>
      </c>
      <c r="Y467" s="46"/>
      <c r="Z467" s="46"/>
      <c r="AD467" s="46"/>
    </row>
    <row r="468" spans="1:30">
      <c r="A468">
        <v>2845</v>
      </c>
      <c r="B468" t="s">
        <v>1010</v>
      </c>
      <c r="C468">
        <v>9.9499999999999993</v>
      </c>
      <c r="Y468" s="46"/>
      <c r="Z468" s="46"/>
      <c r="AA468" s="46"/>
      <c r="AD468" s="46"/>
    </row>
    <row r="469" spans="1:30">
      <c r="A469">
        <v>2847</v>
      </c>
      <c r="B469" t="s">
        <v>1011</v>
      </c>
      <c r="C469">
        <v>13.75</v>
      </c>
      <c r="Y469" s="46"/>
      <c r="Z469" s="46"/>
      <c r="AD469" s="46"/>
    </row>
    <row r="470" spans="1:30">
      <c r="A470">
        <v>2849</v>
      </c>
      <c r="B470" t="s">
        <v>1012</v>
      </c>
      <c r="C470">
        <v>16.100000000000001</v>
      </c>
      <c r="Y470" s="46"/>
      <c r="Z470" s="46"/>
      <c r="AD470" s="46"/>
    </row>
    <row r="471" spans="1:30">
      <c r="A471">
        <v>2850</v>
      </c>
      <c r="B471" t="s">
        <v>1013</v>
      </c>
      <c r="C471">
        <v>23.7</v>
      </c>
      <c r="Y471" s="46"/>
      <c r="Z471" s="46"/>
      <c r="AA471" s="46"/>
      <c r="AD471" s="46"/>
    </row>
    <row r="472" spans="1:30">
      <c r="A472">
        <v>2851</v>
      </c>
      <c r="B472" t="s">
        <v>1014</v>
      </c>
      <c r="C472">
        <v>15.1</v>
      </c>
      <c r="Y472" s="46"/>
      <c r="Z472" s="46"/>
      <c r="AA472" s="46"/>
      <c r="AD472" s="46"/>
    </row>
    <row r="473" spans="1:30">
      <c r="A473">
        <v>2852</v>
      </c>
      <c r="B473" t="s">
        <v>1015</v>
      </c>
      <c r="C473">
        <v>12.2</v>
      </c>
      <c r="Y473" s="46"/>
      <c r="Z473" s="46"/>
      <c r="AA473" s="46"/>
      <c r="AD473" s="46"/>
    </row>
    <row r="474" spans="1:30">
      <c r="A474">
        <v>2855</v>
      </c>
      <c r="B474" t="s">
        <v>1016</v>
      </c>
      <c r="C474">
        <v>14.5</v>
      </c>
      <c r="Y474" s="46"/>
      <c r="Z474" s="46"/>
      <c r="AD474" s="46"/>
    </row>
    <row r="475" spans="1:30">
      <c r="A475">
        <v>2856</v>
      </c>
      <c r="B475" t="s">
        <v>1017</v>
      </c>
      <c r="C475">
        <v>9.31</v>
      </c>
      <c r="Y475" s="46"/>
      <c r="Z475" s="46"/>
      <c r="AD475" s="46"/>
    </row>
    <row r="476" spans="1:30">
      <c r="A476">
        <v>2867</v>
      </c>
      <c r="B476" t="s">
        <v>1018</v>
      </c>
      <c r="C476">
        <v>19.149999999999999</v>
      </c>
      <c r="Y476" s="46"/>
      <c r="Z476" s="46"/>
      <c r="AD476" s="46"/>
    </row>
    <row r="477" spans="1:30">
      <c r="A477">
        <v>2880</v>
      </c>
      <c r="B477" t="s">
        <v>1019</v>
      </c>
      <c r="C477">
        <v>15.5</v>
      </c>
      <c r="Y477" s="46"/>
      <c r="Z477" s="46"/>
      <c r="AD477" s="46"/>
    </row>
    <row r="478" spans="1:30">
      <c r="A478">
        <v>2881</v>
      </c>
      <c r="B478" t="s">
        <v>1020</v>
      </c>
      <c r="C478">
        <v>53.3</v>
      </c>
      <c r="Y478" s="46"/>
      <c r="Z478" s="46"/>
      <c r="AD478" s="46"/>
    </row>
    <row r="479" spans="1:30">
      <c r="A479">
        <v>2882</v>
      </c>
      <c r="B479" t="s">
        <v>1021</v>
      </c>
      <c r="C479">
        <v>46.3</v>
      </c>
      <c r="Y479" s="46"/>
      <c r="Z479" s="46"/>
      <c r="AD479" s="46"/>
    </row>
    <row r="480" spans="1:30">
      <c r="A480">
        <v>2883</v>
      </c>
      <c r="B480" t="s">
        <v>1022</v>
      </c>
      <c r="C480">
        <v>8.66</v>
      </c>
      <c r="Y480" s="46"/>
      <c r="Z480" s="46"/>
      <c r="AD480" s="46"/>
    </row>
    <row r="481" spans="1:30">
      <c r="A481">
        <v>2884</v>
      </c>
      <c r="B481" t="s">
        <v>1023</v>
      </c>
      <c r="C481">
        <v>19.75</v>
      </c>
      <c r="Y481" s="46"/>
      <c r="Z481" s="46"/>
      <c r="AD481" s="46"/>
    </row>
    <row r="482" spans="1:30">
      <c r="A482">
        <v>2885</v>
      </c>
      <c r="B482" t="s">
        <v>1024</v>
      </c>
      <c r="C482">
        <v>12.9</v>
      </c>
      <c r="M482" s="46"/>
      <c r="Y482" s="46"/>
      <c r="Z482" s="46"/>
      <c r="AD482" s="46"/>
    </row>
    <row r="483" spans="1:30">
      <c r="A483">
        <v>2886</v>
      </c>
      <c r="B483" t="s">
        <v>1025</v>
      </c>
      <c r="C483">
        <v>22.5</v>
      </c>
      <c r="M483" s="46"/>
      <c r="Y483" s="46"/>
      <c r="Z483" s="46"/>
      <c r="AD483" s="46"/>
    </row>
    <row r="484" spans="1:30">
      <c r="A484">
        <v>2887</v>
      </c>
      <c r="B484" t="s">
        <v>1026</v>
      </c>
      <c r="C484">
        <v>12.15</v>
      </c>
      <c r="Y484" s="46"/>
      <c r="Z484" s="46"/>
      <c r="AD484" s="46"/>
    </row>
    <row r="485" spans="1:30">
      <c r="A485">
        <v>2888</v>
      </c>
      <c r="B485" t="s">
        <v>1027</v>
      </c>
      <c r="C485">
        <v>7.34</v>
      </c>
      <c r="Y485" s="46"/>
      <c r="Z485" s="46"/>
      <c r="AD485" s="46"/>
    </row>
    <row r="486" spans="1:30">
      <c r="A486">
        <v>2889</v>
      </c>
      <c r="B486" t="s">
        <v>1028</v>
      </c>
      <c r="C486">
        <v>7.8</v>
      </c>
      <c r="Y486" s="46"/>
      <c r="Z486" s="46"/>
      <c r="AD486" s="46"/>
    </row>
    <row r="487" spans="1:30">
      <c r="A487">
        <v>2890</v>
      </c>
      <c r="B487" t="s">
        <v>1029</v>
      </c>
      <c r="C487">
        <v>10.1</v>
      </c>
      <c r="M487" s="46"/>
      <c r="Y487" s="46"/>
      <c r="Z487" s="46"/>
      <c r="AD487" s="46"/>
    </row>
    <row r="488" spans="1:30">
      <c r="A488">
        <v>2891</v>
      </c>
      <c r="B488" t="s">
        <v>1030</v>
      </c>
      <c r="C488">
        <v>17.55</v>
      </c>
      <c r="O488" s="46"/>
      <c r="Y488" s="46"/>
      <c r="Z488" s="46"/>
      <c r="AD488" s="46"/>
    </row>
    <row r="489" spans="1:30">
      <c r="A489" t="s">
        <v>1031</v>
      </c>
      <c r="B489" t="s">
        <v>1032</v>
      </c>
      <c r="C489" t="s">
        <v>1904</v>
      </c>
      <c r="Y489" s="46"/>
      <c r="Z489" s="46"/>
      <c r="AD489" s="46"/>
    </row>
    <row r="490" spans="1:30">
      <c r="A490">
        <v>2892</v>
      </c>
      <c r="B490" t="s">
        <v>1033</v>
      </c>
      <c r="C490">
        <v>15.45</v>
      </c>
      <c r="M490" s="46"/>
      <c r="Y490" s="46"/>
      <c r="Z490" s="46"/>
      <c r="AD490" s="46"/>
    </row>
    <row r="491" spans="1:30">
      <c r="A491">
        <v>2901</v>
      </c>
      <c r="B491" t="s">
        <v>1034</v>
      </c>
      <c r="C491">
        <v>26.5</v>
      </c>
      <c r="Y491" s="46"/>
      <c r="Z491" s="46"/>
      <c r="AA491" s="46"/>
      <c r="AD491" s="46"/>
    </row>
    <row r="492" spans="1:30">
      <c r="A492">
        <v>2903</v>
      </c>
      <c r="B492" t="s">
        <v>1035</v>
      </c>
      <c r="C492">
        <v>18.600000000000001</v>
      </c>
      <c r="Y492" s="46"/>
      <c r="Z492" s="46"/>
      <c r="AD492" s="46"/>
    </row>
    <row r="493" spans="1:30">
      <c r="A493">
        <v>2904</v>
      </c>
      <c r="B493" t="s">
        <v>1036</v>
      </c>
      <c r="C493">
        <v>25.75</v>
      </c>
      <c r="Y493" s="46"/>
      <c r="Z493" s="46"/>
      <c r="AA493" s="46"/>
      <c r="AD493" s="46"/>
    </row>
    <row r="494" spans="1:30">
      <c r="A494">
        <v>2905</v>
      </c>
      <c r="B494" t="s">
        <v>1037</v>
      </c>
      <c r="C494">
        <v>23.5</v>
      </c>
      <c r="Y494" s="46"/>
      <c r="Z494" s="46"/>
      <c r="AA494" s="46"/>
      <c r="AD494" s="46"/>
    </row>
    <row r="495" spans="1:30">
      <c r="A495">
        <v>2906</v>
      </c>
      <c r="B495" t="s">
        <v>1038</v>
      </c>
      <c r="C495">
        <v>11.85</v>
      </c>
      <c r="Y495" s="46"/>
      <c r="Z495" s="46"/>
      <c r="AA495" s="46"/>
      <c r="AD495" s="46"/>
    </row>
    <row r="496" spans="1:30">
      <c r="A496">
        <v>2908</v>
      </c>
      <c r="B496" t="s">
        <v>1039</v>
      </c>
      <c r="C496">
        <v>19.600000000000001</v>
      </c>
      <c r="Y496" s="46"/>
      <c r="Z496" s="46"/>
      <c r="AA496" s="46"/>
      <c r="AD496" s="46"/>
    </row>
    <row r="497" spans="1:30">
      <c r="A497">
        <v>2910</v>
      </c>
      <c r="B497" t="s">
        <v>1040</v>
      </c>
      <c r="C497" t="s">
        <v>1904</v>
      </c>
      <c r="Y497" s="46"/>
      <c r="Z497" s="46"/>
      <c r="AD497" s="46"/>
    </row>
    <row r="498" spans="1:30">
      <c r="A498">
        <v>2911</v>
      </c>
      <c r="B498" t="s">
        <v>1041</v>
      </c>
      <c r="C498">
        <v>16.399999999999999</v>
      </c>
      <c r="Y498" s="46"/>
      <c r="Z498" s="46"/>
      <c r="AD498" s="46"/>
    </row>
    <row r="499" spans="1:30">
      <c r="A499">
        <v>2912</v>
      </c>
      <c r="B499" t="s">
        <v>1042</v>
      </c>
      <c r="C499">
        <v>213</v>
      </c>
      <c r="Y499" s="46"/>
      <c r="Z499" s="46"/>
      <c r="AD499" s="46"/>
    </row>
    <row r="500" spans="1:30">
      <c r="A500">
        <v>2913</v>
      </c>
      <c r="B500" t="s">
        <v>1043</v>
      </c>
      <c r="C500">
        <v>13.7</v>
      </c>
      <c r="Y500" s="46"/>
      <c r="Z500" s="46"/>
      <c r="AD500" s="46"/>
    </row>
    <row r="501" spans="1:30">
      <c r="A501">
        <v>2915</v>
      </c>
      <c r="B501" t="s">
        <v>1044</v>
      </c>
      <c r="C501">
        <v>60.5</v>
      </c>
      <c r="Y501" s="46"/>
      <c r="Z501" s="46"/>
      <c r="AD501" s="46"/>
    </row>
    <row r="502" spans="1:30">
      <c r="A502">
        <v>2923</v>
      </c>
      <c r="B502" t="s">
        <v>1045</v>
      </c>
      <c r="C502">
        <v>24.05</v>
      </c>
      <c r="Y502" s="46"/>
      <c r="Z502" s="46"/>
      <c r="AD502" s="46"/>
    </row>
    <row r="503" spans="1:30">
      <c r="A503">
        <v>2929</v>
      </c>
      <c r="B503" t="s">
        <v>1046</v>
      </c>
      <c r="C503">
        <v>162</v>
      </c>
      <c r="Y503" s="46"/>
      <c r="Z503" s="46"/>
      <c r="AD503" s="46"/>
    </row>
    <row r="504" spans="1:30">
      <c r="A504">
        <v>3002</v>
      </c>
      <c r="B504" t="s">
        <v>1047</v>
      </c>
      <c r="C504">
        <v>10.3</v>
      </c>
      <c r="Y504" s="46"/>
      <c r="Z504" s="46"/>
      <c r="AD504" s="46"/>
    </row>
    <row r="505" spans="1:30">
      <c r="A505">
        <v>3003</v>
      </c>
      <c r="B505" t="s">
        <v>1048</v>
      </c>
      <c r="C505">
        <v>40.85</v>
      </c>
      <c r="Y505" s="46"/>
      <c r="Z505" s="46"/>
      <c r="AD505" s="46"/>
    </row>
    <row r="506" spans="1:30">
      <c r="A506">
        <v>3004</v>
      </c>
      <c r="B506" t="s">
        <v>1049</v>
      </c>
      <c r="C506">
        <v>55.9</v>
      </c>
      <c r="Y506" s="46"/>
      <c r="Z506" s="46"/>
      <c r="AD506" s="46"/>
    </row>
    <row r="507" spans="1:30">
      <c r="A507">
        <v>3005</v>
      </c>
      <c r="B507" t="s">
        <v>1050</v>
      </c>
      <c r="C507">
        <v>22.05</v>
      </c>
      <c r="Y507" s="46"/>
      <c r="Z507" s="46"/>
      <c r="AD507" s="46"/>
    </row>
    <row r="508" spans="1:30">
      <c r="A508">
        <v>3006</v>
      </c>
      <c r="B508" t="s">
        <v>1051</v>
      </c>
      <c r="C508">
        <v>29.05</v>
      </c>
      <c r="Y508" s="46"/>
      <c r="Z508" s="46"/>
      <c r="AD508" s="46"/>
    </row>
    <row r="509" spans="1:30">
      <c r="A509">
        <v>3008</v>
      </c>
      <c r="B509" t="s">
        <v>1052</v>
      </c>
      <c r="C509">
        <v>2715</v>
      </c>
      <c r="Y509" s="46"/>
      <c r="Z509" s="46"/>
      <c r="AD509" s="46"/>
    </row>
    <row r="510" spans="1:30">
      <c r="A510">
        <v>3010</v>
      </c>
      <c r="B510" t="s">
        <v>1053</v>
      </c>
      <c r="C510">
        <v>45.05</v>
      </c>
      <c r="Y510" s="46"/>
      <c r="Z510" s="46"/>
      <c r="AD510" s="46"/>
    </row>
    <row r="511" spans="1:30">
      <c r="A511">
        <v>3011</v>
      </c>
      <c r="B511" t="s">
        <v>1054</v>
      </c>
      <c r="C511">
        <v>6.02</v>
      </c>
      <c r="Y511" s="46"/>
      <c r="Z511" s="46"/>
      <c r="AA511" s="46"/>
      <c r="AD511" s="46"/>
    </row>
    <row r="512" spans="1:30">
      <c r="A512">
        <v>3013</v>
      </c>
      <c r="B512" t="s">
        <v>1055</v>
      </c>
      <c r="C512">
        <v>17.8</v>
      </c>
      <c r="Y512" s="46"/>
      <c r="Z512" s="46"/>
      <c r="AA512" s="46"/>
      <c r="AD512" s="46"/>
    </row>
    <row r="513" spans="1:30">
      <c r="A513">
        <v>3014</v>
      </c>
      <c r="B513" t="s">
        <v>1056</v>
      </c>
      <c r="C513">
        <v>28.65</v>
      </c>
      <c r="Y513" s="46"/>
      <c r="Z513" s="46"/>
      <c r="AA513" s="46"/>
      <c r="AD513" s="46"/>
    </row>
    <row r="514" spans="1:30">
      <c r="A514">
        <v>3015</v>
      </c>
      <c r="B514" t="s">
        <v>1860</v>
      </c>
      <c r="C514">
        <v>21.05</v>
      </c>
      <c r="Y514" s="46"/>
      <c r="Z514" s="46"/>
      <c r="AA514" s="46"/>
      <c r="AD514" s="46"/>
    </row>
    <row r="515" spans="1:30">
      <c r="A515">
        <v>3016</v>
      </c>
      <c r="B515" t="s">
        <v>1057</v>
      </c>
      <c r="C515">
        <v>15.1</v>
      </c>
      <c r="Y515" s="46"/>
      <c r="Z515" s="46"/>
      <c r="AA515" s="46"/>
      <c r="AD515" s="46"/>
    </row>
    <row r="516" spans="1:30">
      <c r="A516">
        <v>3017</v>
      </c>
      <c r="B516" t="s">
        <v>1058</v>
      </c>
      <c r="C516">
        <v>27.3</v>
      </c>
      <c r="Y516" s="46"/>
      <c r="Z516" s="46"/>
      <c r="AA516" s="46"/>
      <c r="AD516" s="46"/>
    </row>
    <row r="517" spans="1:30">
      <c r="A517">
        <v>3018</v>
      </c>
      <c r="B517" t="s">
        <v>1059</v>
      </c>
      <c r="C517">
        <v>17.55</v>
      </c>
      <c r="Y517" s="46"/>
      <c r="Z517" s="46"/>
      <c r="AD517" s="46"/>
    </row>
    <row r="518" spans="1:30">
      <c r="A518">
        <v>3019</v>
      </c>
      <c r="B518" t="s">
        <v>1060</v>
      </c>
      <c r="C518">
        <v>33.700000000000003</v>
      </c>
      <c r="Y518" s="46"/>
      <c r="Z518" s="46"/>
      <c r="AD518" s="46"/>
    </row>
    <row r="519" spans="1:30">
      <c r="A519">
        <v>3021</v>
      </c>
      <c r="B519" t="s">
        <v>1061</v>
      </c>
      <c r="C519">
        <v>11.85</v>
      </c>
      <c r="Y519" s="46"/>
      <c r="Z519" s="46"/>
      <c r="AD519" s="46"/>
    </row>
    <row r="520" spans="1:30">
      <c r="A520">
        <v>3022</v>
      </c>
      <c r="B520" t="s">
        <v>1062</v>
      </c>
      <c r="C520">
        <v>41.05</v>
      </c>
      <c r="Y520" s="46"/>
      <c r="Z520" s="46"/>
      <c r="AD520" s="46"/>
    </row>
    <row r="521" spans="1:30">
      <c r="A521">
        <v>3023</v>
      </c>
      <c r="B521" t="s">
        <v>1063</v>
      </c>
      <c r="C521">
        <v>62.4</v>
      </c>
      <c r="Y521" s="46"/>
      <c r="Z521" s="46"/>
      <c r="AD521" s="46"/>
    </row>
    <row r="522" spans="1:30">
      <c r="A522">
        <v>3024</v>
      </c>
      <c r="B522" t="s">
        <v>1064</v>
      </c>
      <c r="C522">
        <v>4.13</v>
      </c>
      <c r="Y522" s="46"/>
      <c r="Z522" s="46"/>
      <c r="AD522" s="46"/>
    </row>
    <row r="523" spans="1:30">
      <c r="A523">
        <v>3025</v>
      </c>
      <c r="B523" t="s">
        <v>1065</v>
      </c>
      <c r="C523">
        <v>8.1</v>
      </c>
      <c r="Y523" s="46"/>
      <c r="Z523" s="46"/>
      <c r="AD523" s="46"/>
    </row>
    <row r="524" spans="1:30">
      <c r="A524">
        <v>3026</v>
      </c>
      <c r="B524" t="s">
        <v>1066</v>
      </c>
      <c r="C524">
        <v>33.200000000000003</v>
      </c>
      <c r="Y524" s="46"/>
      <c r="Z524" s="46"/>
      <c r="AD524" s="46"/>
    </row>
    <row r="525" spans="1:30">
      <c r="A525">
        <v>3027</v>
      </c>
      <c r="B525" t="s">
        <v>1067</v>
      </c>
      <c r="C525">
        <v>12.2</v>
      </c>
      <c r="Y525" s="46"/>
      <c r="Z525" s="46"/>
      <c r="AA525" s="46"/>
      <c r="AD525" s="46"/>
    </row>
    <row r="526" spans="1:30">
      <c r="A526">
        <v>3028</v>
      </c>
      <c r="B526" t="s">
        <v>1068</v>
      </c>
      <c r="C526">
        <v>15.95</v>
      </c>
      <c r="Y526" s="46"/>
      <c r="Z526" s="46"/>
      <c r="AA526" s="46"/>
      <c r="AD526" s="46"/>
    </row>
    <row r="527" spans="1:30">
      <c r="A527">
        <v>3029</v>
      </c>
      <c r="B527" t="s">
        <v>1069</v>
      </c>
      <c r="C527">
        <v>19.399999999999999</v>
      </c>
      <c r="Y527" s="46"/>
      <c r="Z527" s="46"/>
      <c r="AA527" s="46"/>
      <c r="AD527" s="46"/>
    </row>
    <row r="528" spans="1:30">
      <c r="A528">
        <v>3030</v>
      </c>
      <c r="B528" t="s">
        <v>1070</v>
      </c>
      <c r="C528">
        <v>52.7</v>
      </c>
      <c r="Y528" s="46"/>
      <c r="Z528" s="46"/>
      <c r="AD528" s="46"/>
    </row>
    <row r="529" spans="1:30">
      <c r="A529">
        <v>3031</v>
      </c>
      <c r="B529" t="s">
        <v>1071</v>
      </c>
      <c r="C529">
        <v>9.6999999999999993</v>
      </c>
      <c r="Y529" s="46"/>
      <c r="Z529" s="46"/>
      <c r="AD529" s="46"/>
    </row>
    <row r="530" spans="1:30">
      <c r="A530">
        <v>3032</v>
      </c>
      <c r="B530" t="s">
        <v>1072</v>
      </c>
      <c r="C530">
        <v>21.9</v>
      </c>
      <c r="Y530" s="46"/>
      <c r="Z530" s="46"/>
      <c r="AA530" s="46"/>
      <c r="AD530" s="46"/>
    </row>
    <row r="531" spans="1:30">
      <c r="A531">
        <v>3033</v>
      </c>
      <c r="B531" t="s">
        <v>1073</v>
      </c>
      <c r="C531">
        <v>19.399999999999999</v>
      </c>
      <c r="Y531" s="46"/>
      <c r="Z531" s="46"/>
      <c r="AD531" s="46"/>
    </row>
    <row r="532" spans="1:30">
      <c r="A532">
        <v>3034</v>
      </c>
      <c r="B532" t="s">
        <v>1074</v>
      </c>
      <c r="C532">
        <v>119</v>
      </c>
      <c r="Y532" s="46"/>
      <c r="Z532" s="46"/>
      <c r="AD532" s="46"/>
    </row>
    <row r="533" spans="1:30">
      <c r="A533">
        <v>3035</v>
      </c>
      <c r="B533" t="s">
        <v>1075</v>
      </c>
      <c r="C533">
        <v>46.2</v>
      </c>
      <c r="Y533" s="46"/>
      <c r="Z533" s="46"/>
      <c r="AA533" s="46"/>
      <c r="AD533" s="46"/>
    </row>
    <row r="534" spans="1:30">
      <c r="A534">
        <v>3036</v>
      </c>
      <c r="B534" t="s">
        <v>1076</v>
      </c>
      <c r="C534">
        <v>35.200000000000003</v>
      </c>
      <c r="Y534" s="46"/>
      <c r="Z534" s="46"/>
      <c r="AD534" s="46"/>
    </row>
    <row r="535" spans="1:30">
      <c r="A535">
        <v>3037</v>
      </c>
      <c r="B535" t="s">
        <v>1077</v>
      </c>
      <c r="C535">
        <v>14.6</v>
      </c>
      <c r="Y535" s="46"/>
      <c r="Z535" s="46"/>
      <c r="AD535" s="46"/>
    </row>
    <row r="536" spans="1:30">
      <c r="A536">
        <v>3038</v>
      </c>
      <c r="B536" t="s">
        <v>1078</v>
      </c>
      <c r="C536">
        <v>10.45</v>
      </c>
      <c r="Y536" s="46"/>
      <c r="Z536" s="46"/>
      <c r="AA536" s="46"/>
      <c r="AD536" s="46"/>
    </row>
    <row r="537" spans="1:30">
      <c r="A537">
        <v>3040</v>
      </c>
      <c r="B537" t="s">
        <v>1079</v>
      </c>
      <c r="C537">
        <v>35.15</v>
      </c>
      <c r="Y537" s="46"/>
      <c r="Z537" s="46"/>
      <c r="AA537" s="46"/>
      <c r="AD537" s="46"/>
    </row>
    <row r="538" spans="1:30">
      <c r="A538">
        <v>3041</v>
      </c>
      <c r="B538" t="s">
        <v>1080</v>
      </c>
      <c r="C538">
        <v>18.149999999999999</v>
      </c>
      <c r="Y538" s="46"/>
      <c r="Z538" s="46"/>
      <c r="AD538" s="46"/>
    </row>
    <row r="539" spans="1:30">
      <c r="A539">
        <v>3042</v>
      </c>
      <c r="B539" t="s">
        <v>1081</v>
      </c>
      <c r="C539">
        <v>35.85</v>
      </c>
      <c r="Y539" s="46"/>
      <c r="Z539" s="46"/>
      <c r="AD539" s="46"/>
    </row>
    <row r="540" spans="1:30">
      <c r="A540">
        <v>3043</v>
      </c>
      <c r="B540" t="s">
        <v>1082</v>
      </c>
      <c r="C540">
        <v>3.4</v>
      </c>
      <c r="Y540" s="46"/>
      <c r="Z540" s="46"/>
      <c r="AD540" s="46"/>
    </row>
    <row r="541" spans="1:30">
      <c r="A541">
        <v>3044</v>
      </c>
      <c r="B541" t="s">
        <v>1083</v>
      </c>
      <c r="C541">
        <v>58</v>
      </c>
      <c r="Y541" s="46"/>
      <c r="Z541" s="46"/>
      <c r="AD541" s="46"/>
    </row>
    <row r="542" spans="1:30">
      <c r="A542">
        <v>3045</v>
      </c>
      <c r="B542" t="s">
        <v>1084</v>
      </c>
      <c r="C542">
        <v>100.5</v>
      </c>
      <c r="Y542" s="46"/>
      <c r="Z542" s="46"/>
      <c r="AD542" s="46"/>
    </row>
    <row r="543" spans="1:30">
      <c r="A543">
        <v>3046</v>
      </c>
      <c r="B543" t="s">
        <v>1085</v>
      </c>
      <c r="C543">
        <v>10.3</v>
      </c>
      <c r="Y543" s="46"/>
      <c r="Z543" s="46"/>
      <c r="AD543" s="46"/>
    </row>
    <row r="544" spans="1:30">
      <c r="A544">
        <v>3047</v>
      </c>
      <c r="B544" t="s">
        <v>1086</v>
      </c>
      <c r="C544">
        <v>11.1</v>
      </c>
      <c r="Y544" s="46"/>
      <c r="Z544" s="46"/>
      <c r="AA544" s="46"/>
      <c r="AD544" s="46"/>
    </row>
    <row r="545" spans="1:30">
      <c r="A545">
        <v>3048</v>
      </c>
      <c r="B545" t="s">
        <v>1087</v>
      </c>
      <c r="C545">
        <v>19.3</v>
      </c>
      <c r="Y545" s="46"/>
      <c r="Z545" s="46"/>
      <c r="AA545" s="46"/>
      <c r="AD545" s="46"/>
    </row>
    <row r="546" spans="1:30">
      <c r="A546">
        <v>3049</v>
      </c>
      <c r="B546" t="s">
        <v>1088</v>
      </c>
      <c r="C546">
        <v>5.99</v>
      </c>
      <c r="Y546" s="46"/>
      <c r="Z546" s="46"/>
      <c r="AA546" s="46"/>
      <c r="AD546" s="46"/>
    </row>
    <row r="547" spans="1:30">
      <c r="A547">
        <v>3050</v>
      </c>
      <c r="B547" t="s">
        <v>1089</v>
      </c>
      <c r="C547">
        <v>9.85</v>
      </c>
      <c r="Y547" s="46"/>
      <c r="Z547" s="46"/>
      <c r="AA547" s="46"/>
      <c r="AD547" s="46"/>
    </row>
    <row r="548" spans="1:30">
      <c r="A548">
        <v>3051</v>
      </c>
      <c r="B548" t="s">
        <v>1090</v>
      </c>
      <c r="C548">
        <v>7.1</v>
      </c>
      <c r="Y548" s="46"/>
      <c r="Z548" s="46"/>
      <c r="AA548" s="46"/>
      <c r="AD548" s="46"/>
    </row>
    <row r="549" spans="1:30">
      <c r="A549">
        <v>3052</v>
      </c>
      <c r="B549" t="s">
        <v>1091</v>
      </c>
      <c r="C549">
        <v>10.25</v>
      </c>
      <c r="Y549" s="46"/>
      <c r="Z549" s="46"/>
      <c r="AA549" s="46"/>
      <c r="AD549" s="46"/>
    </row>
    <row r="550" spans="1:30">
      <c r="A550">
        <v>3054</v>
      </c>
      <c r="B550" t="s">
        <v>1092</v>
      </c>
      <c r="C550">
        <v>17.75</v>
      </c>
      <c r="Y550" s="46"/>
      <c r="Z550" s="46"/>
      <c r="AA550" s="46"/>
      <c r="AD550" s="46"/>
    </row>
    <row r="551" spans="1:30">
      <c r="A551">
        <v>3055</v>
      </c>
      <c r="B551" t="s">
        <v>1093</v>
      </c>
      <c r="C551">
        <v>16.25</v>
      </c>
      <c r="Y551" s="46"/>
      <c r="Z551" s="46"/>
      <c r="AA551" s="46"/>
      <c r="AD551" s="46"/>
    </row>
    <row r="552" spans="1:30">
      <c r="A552">
        <v>3056</v>
      </c>
      <c r="B552" t="s">
        <v>1094</v>
      </c>
      <c r="C552">
        <v>13</v>
      </c>
      <c r="Y552" s="46"/>
      <c r="Z552" s="46"/>
      <c r="AD552" s="46"/>
    </row>
    <row r="553" spans="1:30">
      <c r="A553">
        <v>3057</v>
      </c>
      <c r="B553" t="s">
        <v>1095</v>
      </c>
      <c r="C553">
        <v>17.100000000000001</v>
      </c>
      <c r="Y553" s="46"/>
      <c r="Z553" s="46"/>
      <c r="AD553" s="46"/>
    </row>
    <row r="554" spans="1:30">
      <c r="A554">
        <v>3058</v>
      </c>
      <c r="B554" t="s">
        <v>1096</v>
      </c>
      <c r="C554">
        <v>9.07</v>
      </c>
      <c r="Y554" s="46"/>
      <c r="Z554" s="46"/>
      <c r="AD554" s="46"/>
    </row>
    <row r="555" spans="1:30">
      <c r="A555">
        <v>3059</v>
      </c>
      <c r="B555" t="s">
        <v>1097</v>
      </c>
      <c r="C555">
        <v>31.05</v>
      </c>
      <c r="Y555" s="46"/>
      <c r="Z555" s="46"/>
      <c r="AD555" s="46"/>
    </row>
    <row r="556" spans="1:30">
      <c r="A556">
        <v>3060</v>
      </c>
      <c r="B556" t="s">
        <v>1098</v>
      </c>
      <c r="C556">
        <v>58</v>
      </c>
      <c r="Y556" s="46"/>
      <c r="Z556" s="46"/>
      <c r="AD556" s="46"/>
    </row>
    <row r="557" spans="1:30">
      <c r="A557">
        <v>3062</v>
      </c>
      <c r="B557" t="s">
        <v>1099</v>
      </c>
      <c r="C557">
        <v>17.05</v>
      </c>
      <c r="Y557" s="46"/>
      <c r="Z557" s="46"/>
      <c r="AD557" s="46"/>
    </row>
    <row r="558" spans="1:30">
      <c r="A558">
        <v>3090</v>
      </c>
      <c r="B558" t="s">
        <v>1100</v>
      </c>
      <c r="C558">
        <v>23.95</v>
      </c>
      <c r="Y558" s="46"/>
      <c r="Z558" s="46"/>
      <c r="AD558" s="46"/>
    </row>
    <row r="559" spans="1:30">
      <c r="A559">
        <v>3094</v>
      </c>
      <c r="B559" t="s">
        <v>1101</v>
      </c>
      <c r="C559">
        <v>26.7</v>
      </c>
      <c r="Y559" s="46"/>
      <c r="Z559" s="46"/>
      <c r="AD559" s="46"/>
    </row>
    <row r="560" spans="1:30">
      <c r="A560">
        <v>3130</v>
      </c>
      <c r="B560" t="s">
        <v>1102</v>
      </c>
      <c r="C560">
        <v>142.5</v>
      </c>
      <c r="Y560" s="46"/>
      <c r="Z560" s="46"/>
      <c r="AD560" s="46"/>
    </row>
    <row r="561" spans="1:30">
      <c r="A561">
        <v>3149</v>
      </c>
      <c r="B561" t="s">
        <v>1103</v>
      </c>
      <c r="C561">
        <v>13.55</v>
      </c>
      <c r="Y561" s="46"/>
      <c r="Z561" s="46"/>
      <c r="AA561" s="46"/>
      <c r="AD561" s="46"/>
    </row>
    <row r="562" spans="1:30">
      <c r="A562">
        <v>3164</v>
      </c>
      <c r="B562" t="s">
        <v>1104</v>
      </c>
      <c r="C562">
        <v>30.7</v>
      </c>
      <c r="Y562" s="46"/>
      <c r="Z562" s="46"/>
      <c r="AA562" s="46"/>
      <c r="AD562" s="46"/>
    </row>
    <row r="563" spans="1:30">
      <c r="A563">
        <v>3167</v>
      </c>
      <c r="B563" t="s">
        <v>1105</v>
      </c>
      <c r="C563">
        <v>28.85</v>
      </c>
      <c r="Y563" s="46"/>
      <c r="Z563" s="46"/>
      <c r="AA563" s="46"/>
      <c r="AD563" s="46"/>
    </row>
    <row r="564" spans="1:30">
      <c r="A564">
        <v>3189</v>
      </c>
      <c r="B564" t="s">
        <v>1106</v>
      </c>
      <c r="C564">
        <v>61.5</v>
      </c>
      <c r="Y564" s="46"/>
      <c r="Z564" s="46"/>
      <c r="AA564" s="46"/>
      <c r="AD564" s="46"/>
    </row>
    <row r="565" spans="1:30">
      <c r="A565">
        <v>3209</v>
      </c>
      <c r="B565" t="s">
        <v>1107</v>
      </c>
      <c r="C565">
        <v>25</v>
      </c>
      <c r="Y565" s="46"/>
      <c r="Z565" s="46"/>
      <c r="AD565" s="46"/>
    </row>
    <row r="566" spans="1:30">
      <c r="A566">
        <v>3229</v>
      </c>
      <c r="B566" t="s">
        <v>1108</v>
      </c>
      <c r="C566">
        <v>18.100000000000001</v>
      </c>
      <c r="Y566" s="46"/>
      <c r="Z566" s="46"/>
      <c r="AD566" s="46"/>
    </row>
    <row r="567" spans="1:30">
      <c r="A567">
        <v>3231</v>
      </c>
      <c r="B567" t="s">
        <v>1109</v>
      </c>
      <c r="C567">
        <v>16.350000000000001</v>
      </c>
      <c r="Y567" s="46"/>
      <c r="Z567" s="46"/>
      <c r="AD567" s="46"/>
    </row>
    <row r="568" spans="1:30">
      <c r="A568">
        <v>3257</v>
      </c>
      <c r="B568" t="s">
        <v>1110</v>
      </c>
      <c r="C568">
        <v>40.85</v>
      </c>
      <c r="Y568" s="46"/>
      <c r="Z568" s="46"/>
      <c r="AD568" s="46"/>
    </row>
    <row r="569" spans="1:30">
      <c r="A569">
        <v>3266</v>
      </c>
      <c r="B569" t="s">
        <v>1111</v>
      </c>
      <c r="C569">
        <v>13.05</v>
      </c>
      <c r="Y569" s="46"/>
      <c r="Z569" s="46"/>
      <c r="AD569" s="46"/>
    </row>
    <row r="570" spans="1:30">
      <c r="A570">
        <v>3296</v>
      </c>
      <c r="B570" t="s">
        <v>1112</v>
      </c>
      <c r="C570">
        <v>14.85</v>
      </c>
      <c r="Y570" s="46"/>
      <c r="Z570" s="46"/>
      <c r="AD570" s="46"/>
    </row>
    <row r="571" spans="1:30">
      <c r="A571">
        <v>3305</v>
      </c>
      <c r="B571" t="s">
        <v>1113</v>
      </c>
      <c r="C571">
        <v>23.3</v>
      </c>
      <c r="Y571" s="46"/>
      <c r="Z571" s="46"/>
      <c r="AD571" s="46"/>
    </row>
    <row r="572" spans="1:30">
      <c r="A572">
        <v>3308</v>
      </c>
      <c r="B572" t="s">
        <v>1114</v>
      </c>
      <c r="C572">
        <v>7.86</v>
      </c>
      <c r="Y572" s="46"/>
      <c r="Z572" s="46"/>
      <c r="AD572" s="46"/>
    </row>
    <row r="573" spans="1:30">
      <c r="A573">
        <v>3311</v>
      </c>
      <c r="B573" t="s">
        <v>1115</v>
      </c>
      <c r="C573">
        <v>17.95</v>
      </c>
      <c r="Y573" s="46"/>
      <c r="Z573" s="46"/>
      <c r="AA573" s="46"/>
      <c r="AD573" s="46"/>
    </row>
    <row r="574" spans="1:30">
      <c r="A574">
        <v>3312</v>
      </c>
      <c r="B574" t="s">
        <v>1116</v>
      </c>
      <c r="C574">
        <v>6.67</v>
      </c>
      <c r="Y574" s="46"/>
      <c r="Z574" s="46"/>
      <c r="AA574" s="46"/>
      <c r="AD574" s="46"/>
    </row>
    <row r="575" spans="1:30">
      <c r="A575">
        <v>3315</v>
      </c>
      <c r="B575" t="s">
        <v>1117</v>
      </c>
      <c r="C575">
        <v>16.3</v>
      </c>
      <c r="Y575" s="46"/>
      <c r="Z575" s="46"/>
      <c r="AD575" s="46"/>
    </row>
    <row r="576" spans="1:30">
      <c r="A576">
        <v>3338</v>
      </c>
      <c r="B576" t="s">
        <v>1118</v>
      </c>
      <c r="C576">
        <v>22.6</v>
      </c>
      <c r="Y576" s="46"/>
      <c r="Z576" s="46"/>
      <c r="AD576" s="46"/>
    </row>
    <row r="577" spans="1:30">
      <c r="A577">
        <v>3356</v>
      </c>
      <c r="B577" t="s">
        <v>1119</v>
      </c>
      <c r="C577">
        <v>76.7</v>
      </c>
      <c r="Y577" s="46"/>
      <c r="Z577" s="46"/>
      <c r="AD577" s="46"/>
    </row>
    <row r="578" spans="1:30">
      <c r="A578">
        <v>3376</v>
      </c>
      <c r="B578" t="s">
        <v>1120</v>
      </c>
      <c r="C578">
        <v>115.5</v>
      </c>
      <c r="M578" s="46"/>
      <c r="Y578" s="46"/>
      <c r="Z578" s="46"/>
      <c r="AD578" s="46"/>
    </row>
    <row r="579" spans="1:30">
      <c r="A579">
        <v>3380</v>
      </c>
      <c r="B579" t="s">
        <v>1121</v>
      </c>
      <c r="C579">
        <v>17.149999999999999</v>
      </c>
      <c r="Y579" s="46"/>
      <c r="Z579" s="46"/>
      <c r="AA579" s="46"/>
      <c r="AD579" s="46"/>
    </row>
    <row r="580" spans="1:30">
      <c r="A580">
        <v>3383</v>
      </c>
      <c r="B580" t="s">
        <v>1122</v>
      </c>
      <c r="C580">
        <v>8.14</v>
      </c>
      <c r="Y580" s="46"/>
      <c r="Z580" s="46"/>
      <c r="AA580" s="46"/>
      <c r="AD580" s="46"/>
    </row>
    <row r="581" spans="1:30">
      <c r="A581">
        <v>3406</v>
      </c>
      <c r="B581" t="s">
        <v>1123</v>
      </c>
      <c r="C581">
        <v>71</v>
      </c>
      <c r="Y581" s="46"/>
      <c r="Z581" s="46"/>
      <c r="AA581" s="46"/>
      <c r="AD581" s="46"/>
    </row>
    <row r="582" spans="1:30">
      <c r="A582">
        <v>3413</v>
      </c>
      <c r="B582" t="s">
        <v>1124</v>
      </c>
      <c r="C582">
        <v>75.8</v>
      </c>
      <c r="Y582" s="46"/>
      <c r="Z582" s="46"/>
      <c r="AA582" s="46"/>
      <c r="AD582" s="46"/>
    </row>
    <row r="583" spans="1:30">
      <c r="A583">
        <v>3416</v>
      </c>
      <c r="B583" t="s">
        <v>1125</v>
      </c>
      <c r="C583">
        <v>58.2</v>
      </c>
      <c r="Y583" s="46"/>
      <c r="Z583" s="46"/>
      <c r="AA583" s="46"/>
      <c r="AD583" s="46"/>
    </row>
    <row r="584" spans="1:30">
      <c r="A584">
        <v>3419</v>
      </c>
      <c r="B584" t="s">
        <v>1126</v>
      </c>
      <c r="C584">
        <v>13.95</v>
      </c>
      <c r="Y584" s="46"/>
      <c r="Z584" s="46"/>
      <c r="AA584" s="46"/>
      <c r="AD584" s="46"/>
    </row>
    <row r="585" spans="1:30">
      <c r="A585">
        <v>3432</v>
      </c>
      <c r="B585" t="s">
        <v>1127</v>
      </c>
      <c r="C585">
        <v>14.15</v>
      </c>
      <c r="Y585" s="46"/>
      <c r="Z585" s="46"/>
      <c r="AA585" s="46"/>
      <c r="AD585" s="46"/>
    </row>
    <row r="586" spans="1:30">
      <c r="A586">
        <v>3437</v>
      </c>
      <c r="B586" t="s">
        <v>1128</v>
      </c>
      <c r="C586">
        <v>24.6</v>
      </c>
      <c r="Y586" s="46"/>
      <c r="Z586" s="46"/>
      <c r="AD586" s="46"/>
    </row>
    <row r="587" spans="1:30">
      <c r="A587">
        <v>3443</v>
      </c>
      <c r="B587" t="s">
        <v>1129</v>
      </c>
      <c r="C587">
        <v>68.5</v>
      </c>
      <c r="Y587" s="46"/>
      <c r="Z587" s="46"/>
      <c r="AA587" s="46"/>
      <c r="AD587" s="46"/>
    </row>
    <row r="588" spans="1:30">
      <c r="A588">
        <v>3450</v>
      </c>
      <c r="B588" t="s">
        <v>1130</v>
      </c>
      <c r="C588">
        <v>138</v>
      </c>
      <c r="Y588" s="46"/>
      <c r="Z588" s="46"/>
      <c r="AD588" s="46"/>
    </row>
    <row r="589" spans="1:30">
      <c r="A589">
        <v>3454</v>
      </c>
      <c r="B589" t="s">
        <v>1131</v>
      </c>
      <c r="C589">
        <v>75.7</v>
      </c>
      <c r="Y589" s="46"/>
      <c r="Z589" s="46"/>
      <c r="AD589" s="46"/>
    </row>
    <row r="590" spans="1:30">
      <c r="A590">
        <v>3474</v>
      </c>
      <c r="B590" t="s">
        <v>1132</v>
      </c>
      <c r="C590">
        <v>22.6</v>
      </c>
      <c r="M590" s="46"/>
      <c r="Y590" s="46"/>
      <c r="Z590" s="46"/>
      <c r="AD590" s="46"/>
    </row>
    <row r="591" spans="1:30">
      <c r="A591">
        <v>3481</v>
      </c>
      <c r="B591" t="s">
        <v>1133</v>
      </c>
      <c r="C591">
        <v>10.199999999999999</v>
      </c>
      <c r="O591" s="46"/>
      <c r="Y591" s="46"/>
      <c r="Z591" s="46"/>
      <c r="AD591" s="46"/>
    </row>
    <row r="592" spans="1:30">
      <c r="A592">
        <v>3494</v>
      </c>
      <c r="B592" t="s">
        <v>1134</v>
      </c>
      <c r="C592">
        <v>12.5</v>
      </c>
      <c r="Y592" s="46"/>
      <c r="Z592" s="46"/>
      <c r="AD592" s="46"/>
    </row>
    <row r="593" spans="1:30">
      <c r="A593">
        <v>3501</v>
      </c>
      <c r="B593" t="s">
        <v>1135</v>
      </c>
      <c r="C593">
        <v>54.3</v>
      </c>
      <c r="Y593" s="46"/>
      <c r="Z593" s="46"/>
      <c r="AD593" s="46"/>
    </row>
    <row r="594" spans="1:30">
      <c r="A594">
        <v>3504</v>
      </c>
      <c r="B594" t="s">
        <v>1136</v>
      </c>
      <c r="C594">
        <v>38.299999999999997</v>
      </c>
      <c r="Y594" s="46"/>
      <c r="Z594" s="46"/>
      <c r="AA594" s="46"/>
      <c r="AD594" s="46"/>
    </row>
    <row r="595" spans="1:30">
      <c r="A595">
        <v>3514</v>
      </c>
      <c r="B595" t="s">
        <v>1137</v>
      </c>
      <c r="C595">
        <v>25.85</v>
      </c>
      <c r="Y595" s="46"/>
      <c r="Z595" s="46"/>
      <c r="AA595" s="46"/>
      <c r="AD595" s="46"/>
    </row>
    <row r="596" spans="1:30">
      <c r="A596">
        <v>3515</v>
      </c>
      <c r="B596" t="s">
        <v>1138</v>
      </c>
      <c r="C596">
        <v>47.5</v>
      </c>
      <c r="Y596" s="46"/>
      <c r="Z596" s="46"/>
      <c r="AA596" s="46"/>
      <c r="AD596" s="46"/>
    </row>
    <row r="597" spans="1:30">
      <c r="A597">
        <v>3518</v>
      </c>
      <c r="B597" t="s">
        <v>1139</v>
      </c>
      <c r="C597">
        <v>34.5</v>
      </c>
      <c r="Y597" s="46"/>
      <c r="Z597" s="46"/>
      <c r="AA597" s="46"/>
      <c r="AD597" s="46"/>
    </row>
    <row r="598" spans="1:30">
      <c r="A598">
        <v>3519</v>
      </c>
      <c r="B598" t="s">
        <v>1140</v>
      </c>
      <c r="C598">
        <v>17.399999999999999</v>
      </c>
      <c r="Y598" s="46"/>
      <c r="Z598" s="46"/>
      <c r="AA598" s="46"/>
      <c r="AD598" s="46"/>
    </row>
    <row r="599" spans="1:30">
      <c r="A599">
        <v>3532</v>
      </c>
      <c r="B599" t="s">
        <v>1141</v>
      </c>
      <c r="C599">
        <v>37.799999999999997</v>
      </c>
      <c r="Y599" s="46"/>
      <c r="Z599" s="46"/>
      <c r="AD599" s="46"/>
    </row>
    <row r="600" spans="1:30">
      <c r="A600">
        <v>3533</v>
      </c>
      <c r="B600" t="s">
        <v>1142</v>
      </c>
      <c r="C600">
        <v>118</v>
      </c>
      <c r="Y600" s="46"/>
      <c r="Z600" s="46"/>
      <c r="AA600" s="46"/>
      <c r="AD600" s="46"/>
    </row>
    <row r="601" spans="1:30">
      <c r="A601">
        <v>3535</v>
      </c>
      <c r="B601" t="s">
        <v>1143</v>
      </c>
      <c r="C601">
        <v>9.52</v>
      </c>
      <c r="Y601" s="46"/>
      <c r="Z601" s="46"/>
      <c r="AA601" s="46"/>
      <c r="AD601" s="46"/>
    </row>
    <row r="602" spans="1:30">
      <c r="A602">
        <v>3536</v>
      </c>
      <c r="B602" t="s">
        <v>1144</v>
      </c>
      <c r="C602">
        <v>6.55</v>
      </c>
      <c r="Y602" s="46"/>
      <c r="Z602" s="46"/>
      <c r="AD602" s="46"/>
    </row>
    <row r="603" spans="1:30">
      <c r="A603">
        <v>3545</v>
      </c>
      <c r="B603" t="s">
        <v>1145</v>
      </c>
      <c r="C603">
        <v>29.65</v>
      </c>
      <c r="Y603" s="46"/>
      <c r="Z603" s="46"/>
      <c r="AA603" s="46"/>
      <c r="AD603" s="46"/>
    </row>
    <row r="604" spans="1:30">
      <c r="A604">
        <v>3550</v>
      </c>
      <c r="B604" t="s">
        <v>1146</v>
      </c>
      <c r="C604">
        <v>12.35</v>
      </c>
      <c r="Y604" s="46"/>
      <c r="Z604" s="46"/>
      <c r="AD604" s="46"/>
    </row>
    <row r="605" spans="1:30">
      <c r="A605">
        <v>3557</v>
      </c>
      <c r="B605" t="s">
        <v>1147</v>
      </c>
      <c r="C605">
        <v>4.1500000000000004</v>
      </c>
      <c r="Y605" s="46"/>
      <c r="Z605" s="46"/>
      <c r="AD605" s="46"/>
    </row>
    <row r="606" spans="1:30">
      <c r="A606">
        <v>3559</v>
      </c>
      <c r="B606" t="s">
        <v>1148</v>
      </c>
      <c r="C606">
        <v>21.85</v>
      </c>
      <c r="Y606" s="46"/>
      <c r="Z606" s="46"/>
      <c r="AA606" s="46"/>
      <c r="AD606" s="46"/>
    </row>
    <row r="607" spans="1:30">
      <c r="A607">
        <v>3561</v>
      </c>
      <c r="B607" t="s">
        <v>1149</v>
      </c>
      <c r="C607">
        <v>18.600000000000001</v>
      </c>
      <c r="Y607" s="46"/>
      <c r="Z607" s="46"/>
      <c r="AA607" s="46"/>
      <c r="AD607" s="46"/>
    </row>
    <row r="608" spans="1:30">
      <c r="A608">
        <v>3573</v>
      </c>
      <c r="B608" t="s">
        <v>1150</v>
      </c>
      <c r="C608">
        <v>17.899999999999999</v>
      </c>
      <c r="Y608" s="46"/>
      <c r="Z608" s="46"/>
      <c r="AA608" s="46"/>
      <c r="AD608" s="46"/>
    </row>
    <row r="609" spans="1:30">
      <c r="A609">
        <v>3576</v>
      </c>
      <c r="B609" t="s">
        <v>1151</v>
      </c>
      <c r="C609">
        <v>21.9</v>
      </c>
      <c r="Y609" s="46"/>
      <c r="Z609" s="46"/>
      <c r="AA609" s="46"/>
      <c r="AD609" s="46"/>
    </row>
    <row r="610" spans="1:30">
      <c r="A610">
        <v>3579</v>
      </c>
      <c r="B610" t="s">
        <v>1152</v>
      </c>
      <c r="C610">
        <v>12.15</v>
      </c>
      <c r="Y610" s="46"/>
      <c r="Z610" s="46"/>
      <c r="AA610" s="46"/>
      <c r="AD610" s="46"/>
    </row>
    <row r="611" spans="1:30">
      <c r="A611">
        <v>3583</v>
      </c>
      <c r="B611" t="s">
        <v>1153</v>
      </c>
      <c r="C611">
        <v>79</v>
      </c>
      <c r="Y611" s="46"/>
      <c r="Z611" s="46"/>
      <c r="AA611" s="46"/>
      <c r="AD611" s="46"/>
    </row>
    <row r="612" spans="1:30">
      <c r="A612">
        <v>3584</v>
      </c>
      <c r="B612" t="s">
        <v>1154</v>
      </c>
      <c r="C612">
        <v>6</v>
      </c>
      <c r="Y612" s="46"/>
      <c r="Z612" s="46"/>
      <c r="AD612" s="46"/>
    </row>
    <row r="613" spans="1:30">
      <c r="A613">
        <v>3588</v>
      </c>
      <c r="B613" t="s">
        <v>1155</v>
      </c>
      <c r="C613">
        <v>30.6</v>
      </c>
      <c r="Y613" s="46"/>
      <c r="Z613" s="46"/>
      <c r="AD613" s="46"/>
    </row>
    <row r="614" spans="1:30">
      <c r="A614">
        <v>3591</v>
      </c>
      <c r="B614" t="s">
        <v>1156</v>
      </c>
      <c r="C614">
        <v>17.5</v>
      </c>
      <c r="Y614" s="46"/>
      <c r="Z614" s="46"/>
      <c r="AD614" s="46"/>
    </row>
    <row r="615" spans="1:30">
      <c r="A615">
        <v>3593</v>
      </c>
      <c r="B615" t="s">
        <v>1157</v>
      </c>
      <c r="C615">
        <v>7.77</v>
      </c>
      <c r="Y615" s="46"/>
      <c r="Z615" s="46"/>
      <c r="AD615" s="46"/>
    </row>
    <row r="616" spans="1:30">
      <c r="A616">
        <v>3596</v>
      </c>
      <c r="B616" t="s">
        <v>1158</v>
      </c>
      <c r="C616">
        <v>31.95</v>
      </c>
      <c r="Y616" s="46"/>
      <c r="Z616" s="46"/>
      <c r="AD616" s="46"/>
    </row>
    <row r="617" spans="1:30">
      <c r="A617">
        <v>3598</v>
      </c>
      <c r="B617" t="s">
        <v>1159</v>
      </c>
      <c r="C617">
        <v>49.3</v>
      </c>
      <c r="Y617" s="46"/>
      <c r="Z617" s="46"/>
      <c r="AA617" s="46"/>
      <c r="AD617" s="46"/>
    </row>
    <row r="618" spans="1:30">
      <c r="A618">
        <v>3605</v>
      </c>
      <c r="B618" t="s">
        <v>1160</v>
      </c>
      <c r="C618">
        <v>27.3</v>
      </c>
      <c r="Y618" s="46"/>
      <c r="Z618" s="46"/>
      <c r="AA618" s="46"/>
      <c r="AD618" s="46"/>
    </row>
    <row r="619" spans="1:30">
      <c r="A619">
        <v>3607</v>
      </c>
      <c r="B619" t="s">
        <v>1161</v>
      </c>
      <c r="C619">
        <v>55.2</v>
      </c>
      <c r="Y619" s="46"/>
      <c r="Z619" s="46"/>
      <c r="AA619" s="46"/>
      <c r="AD619" s="46"/>
    </row>
    <row r="620" spans="1:30">
      <c r="A620">
        <v>3617</v>
      </c>
      <c r="B620" t="s">
        <v>1162</v>
      </c>
      <c r="C620">
        <v>124</v>
      </c>
      <c r="Y620" s="46"/>
      <c r="Z620" s="46"/>
      <c r="AA620" s="46"/>
      <c r="AD620" s="46"/>
    </row>
    <row r="621" spans="1:30">
      <c r="A621">
        <v>3622</v>
      </c>
      <c r="B621" t="s">
        <v>1163</v>
      </c>
      <c r="C621">
        <v>11.4</v>
      </c>
      <c r="Y621" s="46"/>
      <c r="Z621" s="46"/>
      <c r="AD621" s="46"/>
    </row>
    <row r="622" spans="1:30">
      <c r="A622">
        <v>3645</v>
      </c>
      <c r="B622" t="s">
        <v>1164</v>
      </c>
      <c r="C622">
        <v>29.05</v>
      </c>
      <c r="Y622" s="46"/>
      <c r="Z622" s="46"/>
      <c r="AA622" s="46"/>
      <c r="AD622" s="46"/>
    </row>
    <row r="623" spans="1:30">
      <c r="A623">
        <v>3653</v>
      </c>
      <c r="B623" t="s">
        <v>1165</v>
      </c>
      <c r="C623">
        <v>43.55</v>
      </c>
      <c r="Y623" s="46"/>
      <c r="Z623" s="46"/>
      <c r="AA623" s="46"/>
      <c r="AD623" s="46"/>
    </row>
    <row r="624" spans="1:30">
      <c r="A624">
        <v>3661</v>
      </c>
      <c r="B624" t="s">
        <v>1166</v>
      </c>
      <c r="C624">
        <v>41</v>
      </c>
      <c r="Y624" s="46"/>
      <c r="Z624" s="46"/>
      <c r="AA624" s="46"/>
      <c r="AD624" s="46"/>
    </row>
    <row r="625" spans="1:30">
      <c r="A625">
        <v>3665</v>
      </c>
      <c r="B625" t="s">
        <v>1167</v>
      </c>
      <c r="C625">
        <v>141.5</v>
      </c>
      <c r="Y625" s="46"/>
      <c r="Z625" s="46"/>
      <c r="AA625" s="46"/>
      <c r="AD625" s="46"/>
    </row>
    <row r="626" spans="1:30">
      <c r="A626">
        <v>3669</v>
      </c>
      <c r="B626" t="s">
        <v>1168</v>
      </c>
      <c r="C626">
        <v>14.15</v>
      </c>
      <c r="Y626" s="46"/>
      <c r="Z626" s="46"/>
      <c r="AA626" s="46"/>
      <c r="AD626" s="46"/>
    </row>
    <row r="627" spans="1:30">
      <c r="A627">
        <v>3673</v>
      </c>
      <c r="B627" t="s">
        <v>1169</v>
      </c>
      <c r="C627">
        <v>98.5</v>
      </c>
      <c r="Y627" s="46"/>
      <c r="Z627" s="46"/>
      <c r="AD627" s="46"/>
    </row>
    <row r="628" spans="1:30">
      <c r="A628">
        <v>3679</v>
      </c>
      <c r="B628" t="s">
        <v>1170</v>
      </c>
      <c r="C628">
        <v>44.95</v>
      </c>
      <c r="Y628" s="46"/>
      <c r="Z628" s="46"/>
      <c r="AD628" s="46"/>
    </row>
    <row r="629" spans="1:30">
      <c r="A629">
        <v>3682</v>
      </c>
      <c r="B629" t="s">
        <v>1171</v>
      </c>
      <c r="C629">
        <v>10.85</v>
      </c>
      <c r="Y629" s="46"/>
      <c r="Z629" s="46"/>
      <c r="AD629" s="46"/>
    </row>
    <row r="630" spans="1:30">
      <c r="A630">
        <v>3686</v>
      </c>
      <c r="B630" t="s">
        <v>1172</v>
      </c>
      <c r="C630">
        <v>8.18</v>
      </c>
      <c r="Y630" s="46"/>
      <c r="Z630" s="46"/>
      <c r="AA630" s="46"/>
      <c r="AD630" s="46"/>
    </row>
    <row r="631" spans="1:30">
      <c r="A631">
        <v>3694</v>
      </c>
      <c r="B631" t="s">
        <v>1173</v>
      </c>
      <c r="C631">
        <v>18.399999999999999</v>
      </c>
      <c r="Y631" s="46"/>
      <c r="Z631" s="46"/>
      <c r="AD631" s="46"/>
    </row>
    <row r="632" spans="1:30">
      <c r="A632">
        <v>3698</v>
      </c>
      <c r="B632" t="s">
        <v>1174</v>
      </c>
      <c r="C632">
        <v>16.850000000000001</v>
      </c>
      <c r="Y632" s="46"/>
      <c r="Z632" s="46"/>
      <c r="AD632" s="46"/>
    </row>
    <row r="633" spans="1:30">
      <c r="A633">
        <v>3701</v>
      </c>
      <c r="B633" t="s">
        <v>1175</v>
      </c>
      <c r="C633">
        <v>8.49</v>
      </c>
      <c r="Y633" s="46"/>
      <c r="Z633" s="46"/>
      <c r="AD633" s="46"/>
    </row>
    <row r="634" spans="1:30">
      <c r="A634">
        <v>3702</v>
      </c>
      <c r="B634" t="s">
        <v>1176</v>
      </c>
      <c r="C634">
        <v>32.75</v>
      </c>
      <c r="Y634" s="46"/>
      <c r="Z634" s="46"/>
      <c r="AD634" s="46"/>
    </row>
    <row r="635" spans="1:30">
      <c r="A635">
        <v>3703</v>
      </c>
      <c r="B635" t="s">
        <v>1177</v>
      </c>
      <c r="C635">
        <v>10.1</v>
      </c>
      <c r="Y635" s="46"/>
      <c r="Z635" s="46"/>
      <c r="AD635" s="46"/>
    </row>
    <row r="636" spans="1:30">
      <c r="A636">
        <v>3704</v>
      </c>
      <c r="B636" t="s">
        <v>1178</v>
      </c>
      <c r="C636">
        <v>12.35</v>
      </c>
      <c r="Y636" s="46"/>
      <c r="Z636" s="46"/>
      <c r="AD636" s="46"/>
    </row>
    <row r="637" spans="1:30">
      <c r="A637">
        <v>3705</v>
      </c>
      <c r="B637" t="s">
        <v>1179</v>
      </c>
      <c r="C637">
        <v>50</v>
      </c>
      <c r="Y637" s="46"/>
      <c r="Z637" s="46"/>
      <c r="AD637" s="46"/>
    </row>
    <row r="638" spans="1:30">
      <c r="A638">
        <v>3706</v>
      </c>
      <c r="B638" t="s">
        <v>1180</v>
      </c>
      <c r="C638">
        <v>25.2</v>
      </c>
      <c r="Y638" s="46"/>
      <c r="Z638" s="46"/>
      <c r="AD638" s="46"/>
    </row>
    <row r="639" spans="1:30">
      <c r="A639">
        <v>4104</v>
      </c>
      <c r="B639" t="s">
        <v>1181</v>
      </c>
      <c r="C639">
        <v>51.9</v>
      </c>
      <c r="Y639" s="46"/>
      <c r="Z639" s="46"/>
      <c r="AA639" s="46"/>
      <c r="AD639" s="46"/>
    </row>
    <row r="640" spans="1:30">
      <c r="A640">
        <v>4106</v>
      </c>
      <c r="B640" t="s">
        <v>1182</v>
      </c>
      <c r="C640">
        <v>42.15</v>
      </c>
      <c r="Y640" s="46"/>
      <c r="Z640" s="46"/>
      <c r="AD640" s="46"/>
    </row>
    <row r="641" spans="1:30">
      <c r="A641">
        <v>4108</v>
      </c>
      <c r="B641" t="s">
        <v>1183</v>
      </c>
      <c r="C641">
        <v>30.65</v>
      </c>
      <c r="Y641" s="46"/>
      <c r="Z641" s="46"/>
      <c r="AA641" s="46"/>
      <c r="AD641" s="46"/>
    </row>
    <row r="642" spans="1:30">
      <c r="A642">
        <v>4119</v>
      </c>
      <c r="B642" t="s">
        <v>1184</v>
      </c>
      <c r="C642">
        <v>92.6</v>
      </c>
      <c r="Y642" s="46"/>
      <c r="Z642" s="46"/>
      <c r="AD642" s="46"/>
    </row>
    <row r="643" spans="1:30">
      <c r="A643">
        <v>4133</v>
      </c>
      <c r="B643" t="s">
        <v>1185</v>
      </c>
      <c r="C643">
        <v>38.799999999999997</v>
      </c>
      <c r="Y643" s="46"/>
      <c r="Z643" s="46"/>
      <c r="AD643" s="46"/>
    </row>
    <row r="644" spans="1:30">
      <c r="A644">
        <v>4137</v>
      </c>
      <c r="B644" t="s">
        <v>1186</v>
      </c>
      <c r="C644">
        <v>364.5</v>
      </c>
      <c r="Y644" s="46"/>
      <c r="Z644" s="46"/>
      <c r="AA644" s="46"/>
      <c r="AD644" s="46"/>
    </row>
    <row r="645" spans="1:30">
      <c r="A645">
        <v>4141</v>
      </c>
      <c r="B645" t="s">
        <v>1187</v>
      </c>
      <c r="C645">
        <v>39.799999999999997</v>
      </c>
      <c r="Y645" s="46"/>
      <c r="Z645" s="46"/>
      <c r="AA645" s="46"/>
      <c r="AD645" s="46"/>
    </row>
    <row r="646" spans="1:30">
      <c r="A646">
        <v>4142</v>
      </c>
      <c r="B646" t="s">
        <v>1188</v>
      </c>
      <c r="C646">
        <v>26.5</v>
      </c>
      <c r="Y646" s="46"/>
      <c r="Z646" s="46"/>
      <c r="AA646" s="46"/>
      <c r="AD646" s="46"/>
    </row>
    <row r="647" spans="1:30">
      <c r="A647">
        <v>4144</v>
      </c>
      <c r="B647" t="s">
        <v>1189</v>
      </c>
      <c r="C647">
        <v>60.1</v>
      </c>
      <c r="Y647" s="46"/>
      <c r="Z647" s="46"/>
      <c r="AA647" s="46"/>
      <c r="AD647" s="46"/>
    </row>
    <row r="648" spans="1:30">
      <c r="A648">
        <v>4164</v>
      </c>
      <c r="B648" t="s">
        <v>1190</v>
      </c>
      <c r="C648">
        <v>67.400000000000006</v>
      </c>
      <c r="Y648" s="46"/>
      <c r="Z648" s="46"/>
      <c r="AA648" s="46"/>
      <c r="AD648" s="46"/>
    </row>
    <row r="649" spans="1:30">
      <c r="A649">
        <v>4190</v>
      </c>
      <c r="B649" t="s">
        <v>1878</v>
      </c>
      <c r="C649">
        <v>171</v>
      </c>
      <c r="Y649" s="46"/>
      <c r="Z649" s="46"/>
      <c r="AA649" s="46"/>
      <c r="AD649" s="46"/>
    </row>
    <row r="650" spans="1:30">
      <c r="A650">
        <v>4306</v>
      </c>
      <c r="B650" t="s">
        <v>1191</v>
      </c>
      <c r="C650">
        <v>14.2</v>
      </c>
      <c r="Y650" s="46"/>
      <c r="Z650" s="46"/>
      <c r="AA650" s="46"/>
      <c r="AD650" s="46"/>
    </row>
    <row r="651" spans="1:30">
      <c r="A651">
        <v>4414</v>
      </c>
      <c r="B651" t="s">
        <v>1192</v>
      </c>
      <c r="C651">
        <v>19</v>
      </c>
      <c r="Y651" s="46"/>
      <c r="Z651" s="46"/>
      <c r="AA651" s="46"/>
      <c r="AD651" s="46"/>
    </row>
    <row r="652" spans="1:30">
      <c r="A652">
        <v>4426</v>
      </c>
      <c r="B652" t="s">
        <v>1193</v>
      </c>
      <c r="C652">
        <v>181</v>
      </c>
      <c r="Y652" s="46"/>
      <c r="Z652" s="46"/>
      <c r="AA652" s="46"/>
      <c r="AD652" s="46"/>
    </row>
    <row r="653" spans="1:30">
      <c r="A653">
        <v>4526</v>
      </c>
      <c r="B653" t="s">
        <v>1194</v>
      </c>
      <c r="C653">
        <v>23.95</v>
      </c>
      <c r="Y653" s="46"/>
      <c r="Z653" s="46"/>
      <c r="AA653" s="46"/>
      <c r="AD653" s="46"/>
    </row>
    <row r="654" spans="1:30">
      <c r="A654">
        <v>4532</v>
      </c>
      <c r="B654" t="s">
        <v>1195</v>
      </c>
      <c r="C654">
        <v>23.4</v>
      </c>
      <c r="Y654" s="46"/>
      <c r="Z654" s="46"/>
      <c r="AA654" s="46"/>
      <c r="AD654" s="46"/>
    </row>
    <row r="655" spans="1:30">
      <c r="A655">
        <v>4536</v>
      </c>
      <c r="B655" t="s">
        <v>1196</v>
      </c>
      <c r="C655">
        <v>124</v>
      </c>
      <c r="Y655" s="46"/>
      <c r="Z655" s="46"/>
      <c r="AD655" s="46"/>
    </row>
    <row r="656" spans="1:30">
      <c r="A656">
        <v>4551</v>
      </c>
      <c r="B656" t="s">
        <v>1197</v>
      </c>
      <c r="C656">
        <v>78</v>
      </c>
      <c r="Y656" s="46"/>
      <c r="Z656" s="46"/>
      <c r="AA656" s="46"/>
      <c r="AD656" s="46"/>
    </row>
    <row r="657" spans="1:30">
      <c r="A657">
        <v>4555</v>
      </c>
      <c r="B657" t="s">
        <v>1896</v>
      </c>
      <c r="C657">
        <v>79.900000000000006</v>
      </c>
      <c r="Y657" s="46"/>
      <c r="Z657" s="46"/>
      <c r="AD657" s="46"/>
    </row>
    <row r="658" spans="1:30">
      <c r="A658">
        <v>4557</v>
      </c>
      <c r="B658" t="s">
        <v>1198</v>
      </c>
      <c r="C658">
        <v>83</v>
      </c>
      <c r="Y658" s="46"/>
      <c r="Z658" s="46"/>
      <c r="AD658" s="46"/>
    </row>
    <row r="659" spans="1:30">
      <c r="A659">
        <v>4720</v>
      </c>
      <c r="B659" t="s">
        <v>1199</v>
      </c>
      <c r="C659">
        <v>17.350000000000001</v>
      </c>
      <c r="Y659" s="46"/>
      <c r="Z659" s="46"/>
      <c r="AD659" s="46"/>
    </row>
    <row r="660" spans="1:30">
      <c r="A660">
        <v>4722</v>
      </c>
      <c r="B660" t="s">
        <v>1200</v>
      </c>
      <c r="C660">
        <v>33.35</v>
      </c>
      <c r="Y660" s="46"/>
      <c r="Z660" s="46"/>
      <c r="AD660" s="46"/>
    </row>
    <row r="661" spans="1:30">
      <c r="A661">
        <v>4725</v>
      </c>
      <c r="B661" t="s">
        <v>1201</v>
      </c>
      <c r="C661">
        <v>16.399999999999999</v>
      </c>
      <c r="Y661" s="46"/>
      <c r="Z661" s="46"/>
      <c r="AD661" s="46"/>
    </row>
    <row r="662" spans="1:30">
      <c r="A662">
        <v>4733</v>
      </c>
      <c r="B662" t="s">
        <v>1202</v>
      </c>
      <c r="C662">
        <v>215</v>
      </c>
      <c r="Y662" s="46"/>
      <c r="Z662" s="46"/>
      <c r="AD662" s="46"/>
    </row>
    <row r="663" spans="1:30">
      <c r="A663">
        <v>4737</v>
      </c>
      <c r="B663" t="s">
        <v>1203</v>
      </c>
      <c r="C663">
        <v>61.1</v>
      </c>
      <c r="Y663" s="46"/>
      <c r="Z663" s="46"/>
      <c r="AD663" s="46"/>
    </row>
    <row r="664" spans="1:30">
      <c r="A664">
        <v>4746</v>
      </c>
      <c r="B664" t="s">
        <v>1204</v>
      </c>
      <c r="C664">
        <v>68.099999999999994</v>
      </c>
      <c r="Y664" s="46"/>
      <c r="Z664" s="46"/>
      <c r="AA664" s="46"/>
      <c r="AD664" s="46"/>
    </row>
    <row r="665" spans="1:30">
      <c r="A665">
        <v>4755</v>
      </c>
      <c r="B665" t="s">
        <v>1205</v>
      </c>
      <c r="C665">
        <v>24</v>
      </c>
      <c r="Y665" s="46"/>
      <c r="Z665" s="46"/>
      <c r="AA665" s="46"/>
      <c r="AD665" s="46"/>
    </row>
    <row r="666" spans="1:30">
      <c r="A666">
        <v>4763</v>
      </c>
      <c r="B666" t="s">
        <v>1927</v>
      </c>
      <c r="C666">
        <v>131.5</v>
      </c>
      <c r="Y666" s="46"/>
      <c r="Z666" s="46"/>
      <c r="AA666" s="46"/>
      <c r="AD666" s="46"/>
    </row>
    <row r="667" spans="1:30">
      <c r="A667">
        <v>4904</v>
      </c>
      <c r="B667" t="s">
        <v>1206</v>
      </c>
      <c r="C667">
        <v>69.900000000000006</v>
      </c>
      <c r="Y667" s="46"/>
      <c r="Z667" s="46"/>
      <c r="AA667" s="46"/>
      <c r="AD667" s="46"/>
    </row>
    <row r="668" spans="1:30">
      <c r="A668">
        <v>4906</v>
      </c>
      <c r="B668" t="s">
        <v>1207</v>
      </c>
      <c r="C668">
        <v>15.3</v>
      </c>
      <c r="Y668" s="46"/>
      <c r="Z668" s="46"/>
      <c r="AA668" s="46"/>
      <c r="AD668" s="46"/>
    </row>
    <row r="669" spans="1:30">
      <c r="A669">
        <v>4912</v>
      </c>
      <c r="B669" t="s">
        <v>1208</v>
      </c>
      <c r="C669">
        <v>81.5</v>
      </c>
      <c r="Y669" s="46"/>
      <c r="Z669" s="46"/>
      <c r="AA669" s="46"/>
      <c r="AD669" s="46"/>
    </row>
    <row r="670" spans="1:30">
      <c r="A670">
        <v>4915</v>
      </c>
      <c r="B670" t="s">
        <v>1209</v>
      </c>
      <c r="C670">
        <v>42.8</v>
      </c>
      <c r="Y670" s="46"/>
      <c r="Z670" s="46"/>
      <c r="AD670" s="46"/>
    </row>
    <row r="671" spans="1:30">
      <c r="A671">
        <v>4916</v>
      </c>
      <c r="B671" t="s">
        <v>1210</v>
      </c>
      <c r="C671">
        <v>22.4</v>
      </c>
      <c r="Y671" s="46"/>
      <c r="Z671" s="46"/>
      <c r="AA671" s="46"/>
      <c r="AD671" s="46"/>
    </row>
    <row r="672" spans="1:30">
      <c r="A672">
        <v>4919</v>
      </c>
      <c r="B672" t="s">
        <v>1211</v>
      </c>
      <c r="C672">
        <v>30.05</v>
      </c>
      <c r="Y672" s="46"/>
      <c r="Z672" s="46"/>
      <c r="AD672" s="46"/>
    </row>
    <row r="673" spans="1:30">
      <c r="A673">
        <v>4927</v>
      </c>
      <c r="B673" t="s">
        <v>1212</v>
      </c>
      <c r="C673">
        <v>41.85</v>
      </c>
      <c r="Y673" s="46"/>
      <c r="Z673" s="46"/>
      <c r="AD673" s="46"/>
    </row>
    <row r="674" spans="1:30">
      <c r="A674">
        <v>4930</v>
      </c>
      <c r="B674" t="s">
        <v>1213</v>
      </c>
      <c r="C674">
        <v>16.45</v>
      </c>
      <c r="Y674" s="46"/>
      <c r="Z674" s="46"/>
      <c r="AD674" s="46"/>
    </row>
    <row r="675" spans="1:30">
      <c r="A675">
        <v>4934</v>
      </c>
      <c r="B675" t="s">
        <v>1214</v>
      </c>
      <c r="C675">
        <v>20</v>
      </c>
      <c r="Y675" s="46"/>
      <c r="Z675" s="46"/>
      <c r="AD675" s="46"/>
    </row>
    <row r="676" spans="1:30">
      <c r="A676">
        <v>4935</v>
      </c>
      <c r="B676" t="s">
        <v>1215</v>
      </c>
      <c r="C676">
        <v>77</v>
      </c>
      <c r="Y676" s="46"/>
      <c r="Z676" s="46"/>
      <c r="AD676" s="46"/>
    </row>
    <row r="677" spans="1:30">
      <c r="A677">
        <v>4938</v>
      </c>
      <c r="B677" t="s">
        <v>1216</v>
      </c>
      <c r="C677">
        <v>86</v>
      </c>
      <c r="Y677" s="46"/>
      <c r="Z677" s="46"/>
      <c r="AD677" s="46"/>
    </row>
    <row r="678" spans="1:30">
      <c r="A678">
        <v>4942</v>
      </c>
      <c r="B678" t="s">
        <v>1217</v>
      </c>
      <c r="C678">
        <v>23.2</v>
      </c>
      <c r="Y678" s="46"/>
      <c r="Z678" s="46"/>
      <c r="AA678" s="46"/>
      <c r="AD678" s="46"/>
    </row>
    <row r="679" spans="1:30">
      <c r="A679">
        <v>4952</v>
      </c>
      <c r="B679" t="s">
        <v>1218</v>
      </c>
      <c r="C679">
        <v>41.25</v>
      </c>
      <c r="Y679" s="46"/>
      <c r="Z679" s="46"/>
      <c r="AD679" s="46"/>
    </row>
    <row r="680" spans="1:30">
      <c r="A680">
        <v>4956</v>
      </c>
      <c r="B680" t="s">
        <v>1219</v>
      </c>
      <c r="C680">
        <v>11.65</v>
      </c>
      <c r="Y680" s="46"/>
      <c r="Z680" s="46"/>
      <c r="AA680" s="46"/>
      <c r="AD680" s="46"/>
    </row>
    <row r="681" spans="1:30">
      <c r="A681">
        <v>4958</v>
      </c>
      <c r="B681" t="s">
        <v>1220</v>
      </c>
      <c r="C681">
        <v>95.1</v>
      </c>
      <c r="Y681" s="46"/>
      <c r="Z681" s="46"/>
      <c r="AD681" s="46"/>
    </row>
    <row r="682" spans="1:30">
      <c r="A682">
        <v>4960</v>
      </c>
      <c r="B682" t="s">
        <v>1221</v>
      </c>
      <c r="C682">
        <v>21.8</v>
      </c>
      <c r="Y682" s="46"/>
      <c r="Z682" s="46"/>
      <c r="AD682" s="46"/>
    </row>
    <row r="683" spans="1:30">
      <c r="A683">
        <v>4968</v>
      </c>
      <c r="B683" t="s">
        <v>2268</v>
      </c>
      <c r="C683">
        <v>87.7</v>
      </c>
      <c r="Y683" s="46"/>
      <c r="Z683" s="46"/>
      <c r="AD683" s="46"/>
    </row>
    <row r="684" spans="1:30">
      <c r="A684">
        <v>4976</v>
      </c>
      <c r="B684" t="s">
        <v>1222</v>
      </c>
      <c r="C684">
        <v>16.149999999999999</v>
      </c>
      <c r="Y684" s="46"/>
      <c r="Z684" s="46"/>
      <c r="AD684" s="46"/>
    </row>
    <row r="685" spans="1:30">
      <c r="A685">
        <v>4977</v>
      </c>
      <c r="B685" t="s">
        <v>1223</v>
      </c>
      <c r="C685">
        <v>60.5</v>
      </c>
      <c r="Y685" s="46"/>
      <c r="Z685" s="46"/>
      <c r="AD685" s="46"/>
    </row>
    <row r="686" spans="1:30">
      <c r="A686">
        <v>4984</v>
      </c>
      <c r="B686" t="s">
        <v>1224</v>
      </c>
      <c r="C686">
        <v>41</v>
      </c>
      <c r="Y686" s="46"/>
      <c r="Z686" s="46"/>
      <c r="AD686" s="46"/>
    </row>
    <row r="687" spans="1:30">
      <c r="A687">
        <v>4994</v>
      </c>
      <c r="B687" t="s">
        <v>1225</v>
      </c>
      <c r="C687">
        <v>82.5</v>
      </c>
      <c r="Y687" s="46"/>
      <c r="Z687" s="46"/>
      <c r="AA687" s="46"/>
      <c r="AD687" s="46"/>
    </row>
    <row r="688" spans="1:30">
      <c r="A688">
        <v>4999</v>
      </c>
      <c r="B688" t="s">
        <v>1226</v>
      </c>
      <c r="C688">
        <v>46.9</v>
      </c>
      <c r="Y688" s="46"/>
      <c r="Z688" s="46"/>
      <c r="AA688" s="46"/>
      <c r="AD688" s="46"/>
    </row>
    <row r="689" spans="1:30">
      <c r="A689">
        <v>5007</v>
      </c>
      <c r="B689" t="s">
        <v>1227</v>
      </c>
      <c r="C689">
        <v>63.8</v>
      </c>
      <c r="Y689" s="46"/>
      <c r="Z689" s="46"/>
      <c r="AD689" s="46"/>
    </row>
    <row r="690" spans="1:30">
      <c r="A690">
        <v>5203</v>
      </c>
      <c r="B690" t="s">
        <v>1228</v>
      </c>
      <c r="C690">
        <v>71.8</v>
      </c>
      <c r="Y690" s="46"/>
      <c r="Z690" s="46"/>
      <c r="AA690" s="46"/>
      <c r="AD690" s="46"/>
    </row>
    <row r="691" spans="1:30">
      <c r="A691">
        <v>5215</v>
      </c>
      <c r="B691" t="s">
        <v>1229</v>
      </c>
      <c r="C691">
        <v>40.549999999999997</v>
      </c>
      <c r="Y691" s="46"/>
      <c r="Z691" s="46"/>
      <c r="AA691" s="46"/>
      <c r="AD691" s="46"/>
    </row>
    <row r="692" spans="1:30">
      <c r="A692">
        <v>5225</v>
      </c>
      <c r="B692" t="s">
        <v>1230</v>
      </c>
      <c r="C692">
        <v>53.6</v>
      </c>
      <c r="Y692" s="46"/>
      <c r="Z692" s="46"/>
      <c r="AA692" s="46"/>
      <c r="AD692" s="46"/>
    </row>
    <row r="693" spans="1:30">
      <c r="A693">
        <v>5234</v>
      </c>
      <c r="B693" t="s">
        <v>1231</v>
      </c>
      <c r="C693">
        <v>30.6</v>
      </c>
      <c r="Y693" s="46"/>
      <c r="Z693" s="46"/>
      <c r="AD693" s="46"/>
    </row>
    <row r="694" spans="1:30">
      <c r="A694">
        <v>5243</v>
      </c>
      <c r="B694" t="s">
        <v>1232</v>
      </c>
      <c r="C694">
        <v>29.35</v>
      </c>
      <c r="Y694" s="46"/>
      <c r="Z694" s="46"/>
      <c r="AA694" s="46"/>
      <c r="AD694" s="46"/>
    </row>
    <row r="695" spans="1:30">
      <c r="A695">
        <v>5259</v>
      </c>
      <c r="B695" t="s">
        <v>1233</v>
      </c>
      <c r="C695">
        <v>7.7</v>
      </c>
      <c r="Y695" s="46"/>
      <c r="Z695" s="46"/>
      <c r="AA695" s="46"/>
      <c r="AD695" s="46"/>
    </row>
    <row r="696" spans="1:30">
      <c r="A696">
        <v>5264</v>
      </c>
      <c r="B696" t="s">
        <v>1234</v>
      </c>
      <c r="C696">
        <v>158.5</v>
      </c>
      <c r="Y696" s="46"/>
      <c r="Z696" s="46"/>
      <c r="AD696" s="46"/>
    </row>
    <row r="697" spans="1:30">
      <c r="A697">
        <v>5269</v>
      </c>
      <c r="B697" t="s">
        <v>1235</v>
      </c>
      <c r="C697">
        <v>177.5</v>
      </c>
      <c r="Y697" s="46"/>
      <c r="Z697" s="46"/>
      <c r="AD697" s="46"/>
    </row>
    <row r="698" spans="1:30">
      <c r="A698">
        <v>5285</v>
      </c>
      <c r="B698" t="s">
        <v>1236</v>
      </c>
      <c r="C698">
        <v>31.4</v>
      </c>
      <c r="Y698" s="46"/>
      <c r="Z698" s="46"/>
      <c r="AD698" s="46"/>
    </row>
    <row r="699" spans="1:30">
      <c r="A699">
        <v>5288</v>
      </c>
      <c r="B699" t="s">
        <v>1237</v>
      </c>
      <c r="C699">
        <v>137</v>
      </c>
      <c r="Y699" s="46"/>
      <c r="Z699" s="46"/>
      <c r="AA699" s="46"/>
      <c r="AD699" s="46"/>
    </row>
    <row r="700" spans="1:30">
      <c r="A700">
        <v>5305</v>
      </c>
      <c r="B700" t="s">
        <v>1238</v>
      </c>
      <c r="C700">
        <v>21</v>
      </c>
      <c r="Y700" s="46"/>
      <c r="Z700" s="46"/>
      <c r="AD700" s="46"/>
    </row>
    <row r="701" spans="1:30">
      <c r="A701">
        <v>5388</v>
      </c>
      <c r="B701" t="s">
        <v>1239</v>
      </c>
      <c r="C701">
        <v>79.400000000000006</v>
      </c>
      <c r="Y701" s="46"/>
      <c r="Z701" s="46"/>
      <c r="AD701" s="46"/>
    </row>
    <row r="702" spans="1:30">
      <c r="A702">
        <v>5434</v>
      </c>
      <c r="B702" t="s">
        <v>1240</v>
      </c>
      <c r="C702">
        <v>53.4</v>
      </c>
      <c r="Y702" s="46"/>
      <c r="Z702" s="46"/>
      <c r="AD702" s="46"/>
    </row>
    <row r="703" spans="1:30">
      <c r="A703">
        <v>5469</v>
      </c>
      <c r="B703" t="s">
        <v>1241</v>
      </c>
      <c r="C703">
        <v>10.4</v>
      </c>
      <c r="Y703" s="46"/>
      <c r="Z703" s="46"/>
      <c r="AD703" s="46"/>
    </row>
    <row r="704" spans="1:30">
      <c r="A704">
        <v>5471</v>
      </c>
      <c r="B704" t="s">
        <v>1242</v>
      </c>
      <c r="C704">
        <v>34.35</v>
      </c>
      <c r="Y704" s="46"/>
      <c r="Z704" s="46"/>
      <c r="AD704" s="46"/>
    </row>
    <row r="705" spans="1:3">
      <c r="A705">
        <v>5484</v>
      </c>
      <c r="B705" t="s">
        <v>1243</v>
      </c>
      <c r="C705">
        <v>4.3499999999999996</v>
      </c>
    </row>
    <row r="706" spans="1:3">
      <c r="A706">
        <v>5515</v>
      </c>
      <c r="B706" t="s">
        <v>1244</v>
      </c>
      <c r="C706">
        <v>8.81</v>
      </c>
    </row>
    <row r="707" spans="1:3">
      <c r="A707">
        <v>5519</v>
      </c>
      <c r="B707" t="s">
        <v>1245</v>
      </c>
      <c r="C707">
        <v>13.4</v>
      </c>
    </row>
    <row r="708" spans="1:3">
      <c r="A708">
        <v>5521</v>
      </c>
      <c r="B708" t="s">
        <v>1246</v>
      </c>
      <c r="C708">
        <v>11.3</v>
      </c>
    </row>
    <row r="709" spans="1:3">
      <c r="A709">
        <v>5522</v>
      </c>
      <c r="B709" t="s">
        <v>1247</v>
      </c>
      <c r="C709">
        <v>35.85</v>
      </c>
    </row>
    <row r="710" spans="1:3">
      <c r="A710">
        <v>5525</v>
      </c>
      <c r="B710" t="s">
        <v>1248</v>
      </c>
      <c r="C710">
        <v>16.350000000000001</v>
      </c>
    </row>
    <row r="711" spans="1:3">
      <c r="A711">
        <v>5531</v>
      </c>
      <c r="B711" t="s">
        <v>1249</v>
      </c>
      <c r="C711">
        <v>11.5</v>
      </c>
    </row>
    <row r="712" spans="1:3">
      <c r="A712">
        <v>5533</v>
      </c>
      <c r="B712" t="s">
        <v>1250</v>
      </c>
      <c r="C712">
        <v>16.95</v>
      </c>
    </row>
    <row r="713" spans="1:3">
      <c r="A713">
        <v>5534</v>
      </c>
      <c r="B713" t="s">
        <v>1251</v>
      </c>
      <c r="C713">
        <v>44.25</v>
      </c>
    </row>
    <row r="714" spans="1:3">
      <c r="A714">
        <v>5538</v>
      </c>
      <c r="B714" t="s">
        <v>1252</v>
      </c>
      <c r="C714">
        <v>26.7</v>
      </c>
    </row>
    <row r="715" spans="1:3">
      <c r="A715">
        <v>5607</v>
      </c>
      <c r="B715" t="s">
        <v>1253</v>
      </c>
      <c r="C715">
        <v>15.25</v>
      </c>
    </row>
    <row r="716" spans="1:3">
      <c r="A716">
        <v>5608</v>
      </c>
      <c r="B716" t="s">
        <v>1254</v>
      </c>
      <c r="C716">
        <v>12.3</v>
      </c>
    </row>
    <row r="717" spans="1:3">
      <c r="A717">
        <v>5706</v>
      </c>
      <c r="B717" t="s">
        <v>1255</v>
      </c>
      <c r="C717">
        <v>39.65</v>
      </c>
    </row>
    <row r="718" spans="1:3">
      <c r="A718">
        <v>5871</v>
      </c>
      <c r="B718" t="s">
        <v>1256</v>
      </c>
      <c r="C718">
        <v>57.8</v>
      </c>
    </row>
    <row r="719" spans="1:3">
      <c r="A719">
        <v>5880</v>
      </c>
      <c r="B719" t="s">
        <v>1257</v>
      </c>
      <c r="C719">
        <v>13.95</v>
      </c>
    </row>
    <row r="720" spans="1:3">
      <c r="A720">
        <v>5906</v>
      </c>
      <c r="B720" t="s">
        <v>1258</v>
      </c>
      <c r="C720">
        <v>1.88</v>
      </c>
    </row>
    <row r="721" spans="1:15">
      <c r="A721">
        <v>5907</v>
      </c>
      <c r="B721" t="s">
        <v>1259</v>
      </c>
      <c r="C721">
        <v>30.5</v>
      </c>
    </row>
    <row r="722" spans="1:15">
      <c r="A722">
        <v>6005</v>
      </c>
      <c r="B722" t="s">
        <v>1260</v>
      </c>
      <c r="C722">
        <v>9.73</v>
      </c>
    </row>
    <row r="723" spans="1:15">
      <c r="A723">
        <v>6108</v>
      </c>
      <c r="B723" t="s">
        <v>1261</v>
      </c>
      <c r="C723">
        <v>12.15</v>
      </c>
    </row>
    <row r="724" spans="1:15">
      <c r="A724">
        <v>6112</v>
      </c>
      <c r="B724" t="s">
        <v>1262</v>
      </c>
      <c r="C724">
        <v>27.95</v>
      </c>
    </row>
    <row r="725" spans="1:15">
      <c r="A725">
        <v>6115</v>
      </c>
      <c r="B725" t="s">
        <v>1263</v>
      </c>
      <c r="C725">
        <v>33.75</v>
      </c>
    </row>
    <row r="726" spans="1:15">
      <c r="A726">
        <v>6116</v>
      </c>
      <c r="B726" t="s">
        <v>1264</v>
      </c>
      <c r="C726">
        <v>3.75</v>
      </c>
    </row>
    <row r="727" spans="1:15">
      <c r="A727">
        <v>6117</v>
      </c>
      <c r="B727" t="s">
        <v>1265</v>
      </c>
      <c r="C727">
        <v>15</v>
      </c>
    </row>
    <row r="728" spans="1:15">
      <c r="A728">
        <v>6120</v>
      </c>
      <c r="B728" t="s">
        <v>1266</v>
      </c>
      <c r="C728">
        <v>10.9</v>
      </c>
    </row>
    <row r="729" spans="1:15">
      <c r="A729">
        <v>6128</v>
      </c>
      <c r="B729" t="s">
        <v>1267</v>
      </c>
      <c r="C729">
        <v>35.299999999999997</v>
      </c>
    </row>
    <row r="730" spans="1:15">
      <c r="A730">
        <v>6131</v>
      </c>
      <c r="B730" t="s">
        <v>1268</v>
      </c>
      <c r="C730">
        <v>9.86</v>
      </c>
      <c r="O730" s="46"/>
    </row>
    <row r="731" spans="1:15">
      <c r="A731">
        <v>6133</v>
      </c>
      <c r="B731" t="s">
        <v>1269</v>
      </c>
      <c r="C731">
        <v>11.1</v>
      </c>
    </row>
    <row r="732" spans="1:15">
      <c r="A732">
        <v>6136</v>
      </c>
      <c r="B732" t="s">
        <v>1270</v>
      </c>
      <c r="C732">
        <v>24.1</v>
      </c>
    </row>
    <row r="733" spans="1:15">
      <c r="A733">
        <v>6139</v>
      </c>
      <c r="B733" t="s">
        <v>1271</v>
      </c>
      <c r="C733">
        <v>17.850000000000001</v>
      </c>
    </row>
    <row r="734" spans="1:15">
      <c r="A734">
        <v>6141</v>
      </c>
      <c r="B734" t="s">
        <v>1272</v>
      </c>
      <c r="C734">
        <v>8.5</v>
      </c>
    </row>
    <row r="735" spans="1:15">
      <c r="A735">
        <v>6142</v>
      </c>
      <c r="B735" t="s">
        <v>1273</v>
      </c>
      <c r="C735">
        <v>4.88</v>
      </c>
    </row>
    <row r="736" spans="1:15">
      <c r="A736">
        <v>6145</v>
      </c>
      <c r="B736" t="s">
        <v>1274</v>
      </c>
      <c r="C736">
        <v>13.6</v>
      </c>
    </row>
    <row r="737" spans="1:3">
      <c r="A737">
        <v>6152</v>
      </c>
      <c r="B737" t="s">
        <v>1275</v>
      </c>
      <c r="C737">
        <v>7.15</v>
      </c>
    </row>
    <row r="738" spans="1:3">
      <c r="A738">
        <v>6153</v>
      </c>
      <c r="B738" t="s">
        <v>1276</v>
      </c>
      <c r="C738">
        <v>25.3</v>
      </c>
    </row>
    <row r="739" spans="1:3">
      <c r="A739">
        <v>6155</v>
      </c>
      <c r="B739" t="s">
        <v>1277</v>
      </c>
      <c r="C739">
        <v>18.05</v>
      </c>
    </row>
    <row r="740" spans="1:3">
      <c r="A740">
        <v>6164</v>
      </c>
      <c r="B740" t="s">
        <v>1278</v>
      </c>
      <c r="C740">
        <v>10.25</v>
      </c>
    </row>
    <row r="741" spans="1:3">
      <c r="A741">
        <v>6165</v>
      </c>
      <c r="B741" t="s">
        <v>1279</v>
      </c>
      <c r="C741">
        <v>11.9</v>
      </c>
    </row>
    <row r="742" spans="1:3">
      <c r="A742">
        <v>6166</v>
      </c>
      <c r="B742" t="s">
        <v>1280</v>
      </c>
      <c r="C742">
        <v>81.3</v>
      </c>
    </row>
    <row r="743" spans="1:3">
      <c r="A743">
        <v>6168</v>
      </c>
      <c r="B743" t="s">
        <v>1281</v>
      </c>
      <c r="C743">
        <v>12.45</v>
      </c>
    </row>
    <row r="744" spans="1:3">
      <c r="A744">
        <v>6172</v>
      </c>
      <c r="B744" t="s">
        <v>1282</v>
      </c>
      <c r="C744">
        <v>5.2</v>
      </c>
    </row>
    <row r="745" spans="1:3">
      <c r="A745">
        <v>6176</v>
      </c>
      <c r="B745" t="s">
        <v>1283</v>
      </c>
      <c r="C745">
        <v>91.4</v>
      </c>
    </row>
    <row r="746" spans="1:3">
      <c r="A746">
        <v>6177</v>
      </c>
      <c r="B746" t="s">
        <v>1284</v>
      </c>
      <c r="C746">
        <v>19.899999999999999</v>
      </c>
    </row>
    <row r="747" spans="1:3">
      <c r="A747">
        <v>6183</v>
      </c>
      <c r="B747" t="s">
        <v>1285</v>
      </c>
      <c r="C747">
        <v>26.05</v>
      </c>
    </row>
    <row r="748" spans="1:3">
      <c r="A748">
        <v>6184</v>
      </c>
      <c r="B748" t="s">
        <v>1286</v>
      </c>
      <c r="C748">
        <v>51.8</v>
      </c>
    </row>
    <row r="749" spans="1:3">
      <c r="A749">
        <v>6189</v>
      </c>
      <c r="B749" t="s">
        <v>1287</v>
      </c>
      <c r="C749">
        <v>30.35</v>
      </c>
    </row>
    <row r="750" spans="1:3">
      <c r="A750">
        <v>6191</v>
      </c>
      <c r="B750" t="s">
        <v>1288</v>
      </c>
      <c r="C750">
        <v>6.73</v>
      </c>
    </row>
    <row r="751" spans="1:3">
      <c r="A751">
        <v>6192</v>
      </c>
      <c r="B751" t="s">
        <v>1289</v>
      </c>
      <c r="C751">
        <v>45.05</v>
      </c>
    </row>
    <row r="752" spans="1:3">
      <c r="A752">
        <v>6196</v>
      </c>
      <c r="B752" t="s">
        <v>1290</v>
      </c>
      <c r="C752">
        <v>22.75</v>
      </c>
    </row>
    <row r="753" spans="1:3">
      <c r="A753">
        <v>6197</v>
      </c>
      <c r="B753" t="s">
        <v>1291</v>
      </c>
      <c r="C753">
        <v>31.4</v>
      </c>
    </row>
    <row r="754" spans="1:3">
      <c r="A754">
        <v>6201</v>
      </c>
      <c r="B754" t="s">
        <v>1292</v>
      </c>
      <c r="C754">
        <v>25.3</v>
      </c>
    </row>
    <row r="755" spans="1:3">
      <c r="A755">
        <v>6202</v>
      </c>
      <c r="B755" t="s">
        <v>1293</v>
      </c>
      <c r="C755">
        <v>49.95</v>
      </c>
    </row>
    <row r="756" spans="1:3">
      <c r="A756">
        <v>6205</v>
      </c>
      <c r="B756" t="s">
        <v>1294</v>
      </c>
      <c r="C756">
        <v>29.7</v>
      </c>
    </row>
    <row r="757" spans="1:3">
      <c r="A757">
        <v>6206</v>
      </c>
      <c r="B757" t="s">
        <v>1295</v>
      </c>
      <c r="C757">
        <v>99.2</v>
      </c>
    </row>
    <row r="758" spans="1:3">
      <c r="A758">
        <v>6209</v>
      </c>
      <c r="B758" t="s">
        <v>1296</v>
      </c>
      <c r="C758">
        <v>15.95</v>
      </c>
    </row>
    <row r="759" spans="1:3">
      <c r="A759">
        <v>6213</v>
      </c>
      <c r="B759" t="s">
        <v>1297</v>
      </c>
      <c r="C759">
        <v>21.85</v>
      </c>
    </row>
    <row r="760" spans="1:3">
      <c r="A760">
        <v>6214</v>
      </c>
      <c r="B760" t="s">
        <v>1298</v>
      </c>
      <c r="C760">
        <v>57.7</v>
      </c>
    </row>
    <row r="761" spans="1:3">
      <c r="A761">
        <v>6215</v>
      </c>
      <c r="B761" t="s">
        <v>1299</v>
      </c>
      <c r="C761">
        <v>12.8</v>
      </c>
    </row>
    <row r="762" spans="1:3">
      <c r="A762">
        <v>6216</v>
      </c>
      <c r="B762" t="s">
        <v>1300</v>
      </c>
      <c r="C762">
        <v>28.7</v>
      </c>
    </row>
    <row r="763" spans="1:3">
      <c r="A763">
        <v>6224</v>
      </c>
      <c r="B763" t="s">
        <v>1301</v>
      </c>
      <c r="C763">
        <v>69.900000000000006</v>
      </c>
    </row>
    <row r="764" spans="1:3">
      <c r="A764">
        <v>6225</v>
      </c>
      <c r="B764" t="s">
        <v>1302</v>
      </c>
      <c r="C764">
        <v>3.66</v>
      </c>
    </row>
    <row r="765" spans="1:3">
      <c r="A765">
        <v>6226</v>
      </c>
      <c r="B765" t="s">
        <v>1303</v>
      </c>
      <c r="C765">
        <v>6</v>
      </c>
    </row>
    <row r="766" spans="1:3">
      <c r="A766">
        <v>6230</v>
      </c>
      <c r="B766" t="s">
        <v>1304</v>
      </c>
      <c r="C766">
        <v>78.900000000000006</v>
      </c>
    </row>
    <row r="767" spans="1:3">
      <c r="A767">
        <v>6235</v>
      </c>
      <c r="B767" t="s">
        <v>1305</v>
      </c>
      <c r="C767">
        <v>8.7200000000000006</v>
      </c>
    </row>
    <row r="768" spans="1:3">
      <c r="A768">
        <v>6239</v>
      </c>
      <c r="B768" t="s">
        <v>1306</v>
      </c>
      <c r="C768">
        <v>72</v>
      </c>
    </row>
    <row r="769" spans="1:3">
      <c r="A769">
        <v>6243</v>
      </c>
      <c r="B769" t="s">
        <v>1307</v>
      </c>
      <c r="C769">
        <v>15.95</v>
      </c>
    </row>
    <row r="770" spans="1:3">
      <c r="A770">
        <v>6251</v>
      </c>
      <c r="B770" t="s">
        <v>1308</v>
      </c>
      <c r="C770">
        <v>9.36</v>
      </c>
    </row>
    <row r="771" spans="1:3">
      <c r="A771">
        <v>6257</v>
      </c>
      <c r="B771" t="s">
        <v>1309</v>
      </c>
      <c r="C771">
        <v>23.35</v>
      </c>
    </row>
    <row r="772" spans="1:3">
      <c r="A772">
        <v>6269</v>
      </c>
      <c r="B772" t="s">
        <v>1310</v>
      </c>
      <c r="C772">
        <v>94.8</v>
      </c>
    </row>
    <row r="773" spans="1:3">
      <c r="A773">
        <v>6271</v>
      </c>
      <c r="B773" t="s">
        <v>1311</v>
      </c>
      <c r="C773">
        <v>81.8</v>
      </c>
    </row>
    <row r="774" spans="1:3">
      <c r="A774">
        <v>6277</v>
      </c>
      <c r="B774" t="s">
        <v>1312</v>
      </c>
      <c r="C774">
        <v>70.7</v>
      </c>
    </row>
    <row r="775" spans="1:3">
      <c r="A775">
        <v>6278</v>
      </c>
      <c r="B775" t="s">
        <v>1313</v>
      </c>
      <c r="C775">
        <v>30.85</v>
      </c>
    </row>
    <row r="776" spans="1:3">
      <c r="A776">
        <v>6281</v>
      </c>
      <c r="B776" t="s">
        <v>1314</v>
      </c>
      <c r="C776">
        <v>56.8</v>
      </c>
    </row>
    <row r="777" spans="1:3">
      <c r="A777">
        <v>6282</v>
      </c>
      <c r="B777" t="s">
        <v>1315</v>
      </c>
      <c r="C777">
        <v>27.8</v>
      </c>
    </row>
    <row r="778" spans="1:3">
      <c r="A778">
        <v>6283</v>
      </c>
      <c r="B778" t="s">
        <v>1316</v>
      </c>
      <c r="C778">
        <v>4.75</v>
      </c>
    </row>
    <row r="779" spans="1:3">
      <c r="A779">
        <v>6285</v>
      </c>
      <c r="B779" t="s">
        <v>1317</v>
      </c>
      <c r="C779">
        <v>88.2</v>
      </c>
    </row>
    <row r="780" spans="1:3">
      <c r="A780">
        <v>6286</v>
      </c>
      <c r="B780" t="s">
        <v>1318</v>
      </c>
      <c r="C780">
        <v>190.5</v>
      </c>
    </row>
    <row r="781" spans="1:3">
      <c r="A781">
        <v>6289</v>
      </c>
      <c r="B781" t="s">
        <v>1319</v>
      </c>
      <c r="C781">
        <v>1.08</v>
      </c>
    </row>
    <row r="782" spans="1:3">
      <c r="A782">
        <v>6405</v>
      </c>
      <c r="B782" t="s">
        <v>1320</v>
      </c>
      <c r="C782">
        <v>23.5</v>
      </c>
    </row>
    <row r="783" spans="1:3">
      <c r="A783">
        <v>6409</v>
      </c>
      <c r="B783" t="s">
        <v>1321</v>
      </c>
      <c r="C783">
        <v>486</v>
      </c>
    </row>
    <row r="784" spans="1:3">
      <c r="A784">
        <v>6412</v>
      </c>
      <c r="B784" t="s">
        <v>1322</v>
      </c>
      <c r="C784">
        <v>32.4</v>
      </c>
    </row>
    <row r="785" spans="1:3">
      <c r="A785">
        <v>6414</v>
      </c>
      <c r="B785" t="s">
        <v>1323</v>
      </c>
      <c r="C785">
        <v>346.5</v>
      </c>
    </row>
    <row r="786" spans="1:3">
      <c r="A786">
        <v>6415</v>
      </c>
      <c r="B786" t="s">
        <v>1324</v>
      </c>
      <c r="C786">
        <v>383.5</v>
      </c>
    </row>
    <row r="787" spans="1:3">
      <c r="A787">
        <v>6422</v>
      </c>
      <c r="B787" t="s">
        <v>1325</v>
      </c>
      <c r="C787">
        <v>55.6</v>
      </c>
    </row>
    <row r="788" spans="1:3">
      <c r="A788">
        <v>6431</v>
      </c>
      <c r="B788" t="s">
        <v>1326</v>
      </c>
      <c r="C788">
        <v>11.7</v>
      </c>
    </row>
    <row r="789" spans="1:3">
      <c r="A789">
        <v>6442</v>
      </c>
      <c r="B789" t="s">
        <v>1327</v>
      </c>
      <c r="C789">
        <v>57.1</v>
      </c>
    </row>
    <row r="790" spans="1:3">
      <c r="A790">
        <v>6443</v>
      </c>
      <c r="B790" t="s">
        <v>1328</v>
      </c>
      <c r="C790">
        <v>17.3</v>
      </c>
    </row>
    <row r="791" spans="1:3">
      <c r="A791">
        <v>6449</v>
      </c>
      <c r="B791" t="s">
        <v>1329</v>
      </c>
      <c r="C791">
        <v>26.85</v>
      </c>
    </row>
    <row r="792" spans="1:3">
      <c r="A792">
        <v>6451</v>
      </c>
      <c r="B792" t="s">
        <v>1330</v>
      </c>
      <c r="C792">
        <v>132</v>
      </c>
    </row>
    <row r="793" spans="1:3">
      <c r="A793">
        <v>6452</v>
      </c>
      <c r="B793" t="s">
        <v>1331</v>
      </c>
      <c r="C793">
        <v>395</v>
      </c>
    </row>
    <row r="794" spans="1:3">
      <c r="A794">
        <v>6456</v>
      </c>
      <c r="B794" t="s">
        <v>1332</v>
      </c>
      <c r="C794">
        <v>146.5</v>
      </c>
    </row>
    <row r="795" spans="1:3">
      <c r="A795">
        <v>6504</v>
      </c>
      <c r="B795" t="s">
        <v>1333</v>
      </c>
      <c r="C795">
        <v>189.5</v>
      </c>
    </row>
    <row r="796" spans="1:3">
      <c r="A796">
        <v>6505</v>
      </c>
      <c r="B796" t="s">
        <v>1334</v>
      </c>
      <c r="C796">
        <v>77.599999999999994</v>
      </c>
    </row>
    <row r="797" spans="1:3">
      <c r="A797">
        <v>6605</v>
      </c>
      <c r="B797" t="s">
        <v>1335</v>
      </c>
      <c r="C797">
        <v>118.5</v>
      </c>
    </row>
    <row r="798" spans="1:3">
      <c r="A798">
        <v>6702</v>
      </c>
      <c r="B798" t="s">
        <v>1336</v>
      </c>
      <c r="C798">
        <v>7.27</v>
      </c>
    </row>
    <row r="799" spans="1:3">
      <c r="A799">
        <v>8011</v>
      </c>
      <c r="B799" t="s">
        <v>1337</v>
      </c>
      <c r="C799">
        <v>21.7</v>
      </c>
    </row>
    <row r="800" spans="1:3">
      <c r="A800">
        <v>8016</v>
      </c>
      <c r="B800" t="s">
        <v>1338</v>
      </c>
      <c r="C800">
        <v>84.8</v>
      </c>
    </row>
    <row r="801" spans="1:13">
      <c r="A801">
        <v>8021</v>
      </c>
      <c r="B801" t="s">
        <v>1339</v>
      </c>
      <c r="C801">
        <v>25.05</v>
      </c>
    </row>
    <row r="802" spans="1:13">
      <c r="A802">
        <v>8033</v>
      </c>
      <c r="B802" t="s">
        <v>1340</v>
      </c>
      <c r="C802">
        <v>10.5</v>
      </c>
    </row>
    <row r="803" spans="1:13">
      <c r="A803">
        <v>8039</v>
      </c>
      <c r="B803" t="s">
        <v>1341</v>
      </c>
      <c r="C803">
        <v>38.35</v>
      </c>
    </row>
    <row r="804" spans="1:13">
      <c r="A804">
        <v>8046</v>
      </c>
      <c r="B804" t="s">
        <v>1342</v>
      </c>
      <c r="C804">
        <v>34.450000000000003</v>
      </c>
    </row>
    <row r="805" spans="1:13">
      <c r="A805">
        <v>8070</v>
      </c>
      <c r="B805" t="s">
        <v>1343</v>
      </c>
      <c r="C805">
        <v>89.5</v>
      </c>
    </row>
    <row r="806" spans="1:13">
      <c r="A806">
        <v>8072</v>
      </c>
      <c r="B806" t="s">
        <v>1344</v>
      </c>
      <c r="C806">
        <v>26.45</v>
      </c>
    </row>
    <row r="807" spans="1:13">
      <c r="A807">
        <v>8081</v>
      </c>
      <c r="B807" t="s">
        <v>1345</v>
      </c>
      <c r="C807">
        <v>57</v>
      </c>
    </row>
    <row r="808" spans="1:13">
      <c r="A808">
        <v>8101</v>
      </c>
      <c r="B808" t="s">
        <v>1346</v>
      </c>
      <c r="C808">
        <v>8.14</v>
      </c>
    </row>
    <row r="809" spans="1:13">
      <c r="A809">
        <v>8103</v>
      </c>
      <c r="B809" t="s">
        <v>1347</v>
      </c>
      <c r="C809">
        <v>25.1</v>
      </c>
    </row>
    <row r="810" spans="1:13">
      <c r="A810">
        <v>8105</v>
      </c>
      <c r="B810" t="s">
        <v>1348</v>
      </c>
      <c r="C810">
        <v>24.6</v>
      </c>
      <c r="M810" s="46"/>
    </row>
    <row r="811" spans="1:13">
      <c r="A811">
        <v>8110</v>
      </c>
      <c r="B811" t="s">
        <v>1349</v>
      </c>
      <c r="C811">
        <v>9.9499999999999993</v>
      </c>
    </row>
    <row r="812" spans="1:13">
      <c r="A812">
        <v>8112</v>
      </c>
      <c r="B812" t="s">
        <v>1350</v>
      </c>
      <c r="C812">
        <v>13.4</v>
      </c>
    </row>
    <row r="813" spans="1:13">
      <c r="A813">
        <v>8114</v>
      </c>
      <c r="B813" t="s">
        <v>1351</v>
      </c>
      <c r="C813">
        <v>164</v>
      </c>
    </row>
    <row r="814" spans="1:13">
      <c r="A814">
        <v>8131</v>
      </c>
      <c r="B814" t="s">
        <v>1352</v>
      </c>
      <c r="C814">
        <v>21.4</v>
      </c>
    </row>
    <row r="815" spans="1:13">
      <c r="A815">
        <v>8150</v>
      </c>
      <c r="B815" t="s">
        <v>1353</v>
      </c>
      <c r="C815">
        <v>34</v>
      </c>
    </row>
    <row r="816" spans="1:13">
      <c r="A816">
        <v>8163</v>
      </c>
      <c r="B816" t="s">
        <v>1354</v>
      </c>
      <c r="C816">
        <v>17.850000000000001</v>
      </c>
    </row>
    <row r="817" spans="1:3">
      <c r="A817">
        <v>8201</v>
      </c>
      <c r="B817" t="s">
        <v>1355</v>
      </c>
      <c r="C817">
        <v>9.6199999999999992</v>
      </c>
    </row>
    <row r="818" spans="1:3">
      <c r="A818">
        <v>8210</v>
      </c>
      <c r="B818" t="s">
        <v>1356</v>
      </c>
      <c r="C818">
        <v>36.799999999999997</v>
      </c>
    </row>
    <row r="819" spans="1:3">
      <c r="A819">
        <v>8213</v>
      </c>
      <c r="B819" t="s">
        <v>1357</v>
      </c>
      <c r="C819">
        <v>33.85</v>
      </c>
    </row>
    <row r="820" spans="1:3">
      <c r="A820">
        <v>8215</v>
      </c>
      <c r="B820" t="s">
        <v>1358</v>
      </c>
      <c r="C820">
        <v>23.15</v>
      </c>
    </row>
    <row r="821" spans="1:3">
      <c r="A821">
        <v>8222</v>
      </c>
      <c r="B821" t="s">
        <v>1359</v>
      </c>
      <c r="C821">
        <v>22.95</v>
      </c>
    </row>
    <row r="822" spans="1:3">
      <c r="A822">
        <v>8249</v>
      </c>
      <c r="B822" t="s">
        <v>1360</v>
      </c>
      <c r="C822">
        <v>23.25</v>
      </c>
    </row>
    <row r="823" spans="1:3">
      <c r="A823">
        <v>8261</v>
      </c>
      <c r="B823" t="s">
        <v>1361</v>
      </c>
      <c r="C823">
        <v>30.2</v>
      </c>
    </row>
    <row r="824" spans="1:3">
      <c r="A824">
        <v>8271</v>
      </c>
      <c r="B824" t="s">
        <v>1362</v>
      </c>
      <c r="C824">
        <v>17.45</v>
      </c>
    </row>
    <row r="825" spans="1:3">
      <c r="A825">
        <v>8341</v>
      </c>
      <c r="B825" t="s">
        <v>1363</v>
      </c>
      <c r="C825">
        <v>140</v>
      </c>
    </row>
    <row r="826" spans="1:3">
      <c r="A826">
        <v>8374</v>
      </c>
      <c r="B826" t="s">
        <v>1364</v>
      </c>
      <c r="C826">
        <v>11.15</v>
      </c>
    </row>
    <row r="827" spans="1:3">
      <c r="A827">
        <v>8404</v>
      </c>
      <c r="B827" t="s">
        <v>1365</v>
      </c>
      <c r="C827">
        <v>38</v>
      </c>
    </row>
    <row r="828" spans="1:3">
      <c r="A828">
        <v>8411</v>
      </c>
      <c r="B828" t="s">
        <v>1366</v>
      </c>
      <c r="C828">
        <v>25.7</v>
      </c>
    </row>
    <row r="829" spans="1:3">
      <c r="A829">
        <v>8422</v>
      </c>
      <c r="B829" t="s">
        <v>1367</v>
      </c>
      <c r="C829">
        <v>179</v>
      </c>
    </row>
    <row r="830" spans="1:3">
      <c r="A830">
        <v>8427</v>
      </c>
      <c r="B830" t="s">
        <v>1368</v>
      </c>
      <c r="C830">
        <v>56.3</v>
      </c>
    </row>
    <row r="831" spans="1:3">
      <c r="A831">
        <v>8429</v>
      </c>
      <c r="B831" t="s">
        <v>1369</v>
      </c>
      <c r="C831">
        <v>69.5</v>
      </c>
    </row>
    <row r="832" spans="1:3">
      <c r="A832">
        <v>8443</v>
      </c>
      <c r="B832" t="s">
        <v>1370</v>
      </c>
      <c r="C832">
        <v>23.45</v>
      </c>
    </row>
    <row r="833" spans="1:3">
      <c r="A833">
        <v>8454</v>
      </c>
      <c r="B833" t="s">
        <v>1371</v>
      </c>
      <c r="C833">
        <v>220.5</v>
      </c>
    </row>
    <row r="834" spans="1:3">
      <c r="A834">
        <v>8463</v>
      </c>
      <c r="B834" t="s">
        <v>1372</v>
      </c>
      <c r="C834">
        <v>24.5</v>
      </c>
    </row>
    <row r="835" spans="1:3">
      <c r="A835">
        <v>8926</v>
      </c>
      <c r="B835" t="s">
        <v>1373</v>
      </c>
      <c r="C835">
        <v>23.05</v>
      </c>
    </row>
    <row r="836" spans="1:3">
      <c r="A836">
        <v>8940</v>
      </c>
      <c r="B836" t="s">
        <v>1374</v>
      </c>
      <c r="C836">
        <v>15.7</v>
      </c>
    </row>
    <row r="837" spans="1:3">
      <c r="A837">
        <v>8996</v>
      </c>
      <c r="B837" t="s">
        <v>1375</v>
      </c>
      <c r="C837">
        <v>42.7</v>
      </c>
    </row>
    <row r="838" spans="1:3">
      <c r="A838">
        <v>9103</v>
      </c>
      <c r="B838" t="s">
        <v>1376</v>
      </c>
      <c r="C838">
        <v>2.02</v>
      </c>
    </row>
    <row r="839" spans="1:3">
      <c r="A839">
        <v>910322</v>
      </c>
      <c r="B839" t="s">
        <v>1377</v>
      </c>
      <c r="C839">
        <v>24.1</v>
      </c>
    </row>
    <row r="840" spans="1:3">
      <c r="A840">
        <v>910482</v>
      </c>
      <c r="B840" t="s">
        <v>1378</v>
      </c>
      <c r="C840">
        <v>1.91</v>
      </c>
    </row>
    <row r="841" spans="1:3">
      <c r="A841">
        <v>9105</v>
      </c>
      <c r="B841" t="s">
        <v>1379</v>
      </c>
      <c r="C841">
        <v>3.38</v>
      </c>
    </row>
    <row r="842" spans="1:3">
      <c r="A842">
        <v>9106</v>
      </c>
      <c r="B842" t="s">
        <v>1380</v>
      </c>
      <c r="C842">
        <v>2.98</v>
      </c>
    </row>
    <row r="843" spans="1:3">
      <c r="A843">
        <v>910708</v>
      </c>
      <c r="B843" t="s">
        <v>1381</v>
      </c>
      <c r="C843">
        <v>410</v>
      </c>
    </row>
    <row r="844" spans="1:3">
      <c r="A844">
        <v>910801</v>
      </c>
      <c r="B844" t="s">
        <v>1382</v>
      </c>
      <c r="C844">
        <v>5.01</v>
      </c>
    </row>
    <row r="845" spans="1:3">
      <c r="A845">
        <v>910861</v>
      </c>
      <c r="B845" t="s">
        <v>1383</v>
      </c>
      <c r="C845">
        <v>20.100000000000001</v>
      </c>
    </row>
    <row r="846" spans="1:3">
      <c r="A846">
        <v>9110</v>
      </c>
      <c r="B846" t="s">
        <v>1384</v>
      </c>
      <c r="C846">
        <v>3.98</v>
      </c>
    </row>
    <row r="847" spans="1:3">
      <c r="A847">
        <v>911608</v>
      </c>
      <c r="B847" t="s">
        <v>1385</v>
      </c>
      <c r="C847">
        <v>4.63</v>
      </c>
    </row>
    <row r="848" spans="1:3">
      <c r="A848">
        <v>911611</v>
      </c>
      <c r="B848" t="s">
        <v>1386</v>
      </c>
      <c r="C848">
        <v>1.08</v>
      </c>
    </row>
    <row r="849" spans="1:3">
      <c r="A849">
        <v>911612</v>
      </c>
      <c r="B849" t="s">
        <v>1387</v>
      </c>
      <c r="C849">
        <v>0.48</v>
      </c>
    </row>
    <row r="850" spans="1:3">
      <c r="A850">
        <v>911616</v>
      </c>
      <c r="B850" t="s">
        <v>1388</v>
      </c>
      <c r="C850">
        <v>2.54</v>
      </c>
    </row>
    <row r="851" spans="1:3">
      <c r="A851">
        <v>911619</v>
      </c>
      <c r="B851" t="s">
        <v>1389</v>
      </c>
      <c r="C851">
        <v>1.36</v>
      </c>
    </row>
    <row r="852" spans="1:3">
      <c r="A852">
        <v>911622</v>
      </c>
      <c r="B852" t="s">
        <v>1390</v>
      </c>
      <c r="C852" t="s">
        <v>1904</v>
      </c>
    </row>
    <row r="853" spans="1:3">
      <c r="A853">
        <v>911626</v>
      </c>
      <c r="B853" t="s">
        <v>1391</v>
      </c>
      <c r="C853">
        <v>3.51</v>
      </c>
    </row>
    <row r="854" spans="1:3">
      <c r="A854">
        <v>911868</v>
      </c>
      <c r="B854" t="s">
        <v>1392</v>
      </c>
      <c r="C854">
        <v>2.4700000000000002</v>
      </c>
    </row>
    <row r="855" spans="1:3">
      <c r="A855">
        <v>912000</v>
      </c>
      <c r="B855" t="s">
        <v>1393</v>
      </c>
      <c r="C855">
        <v>3.96</v>
      </c>
    </row>
    <row r="856" spans="1:3">
      <c r="A856">
        <v>912398</v>
      </c>
      <c r="B856" t="s">
        <v>1394</v>
      </c>
      <c r="C856">
        <v>7.95</v>
      </c>
    </row>
    <row r="857" spans="1:3">
      <c r="A857">
        <v>9136</v>
      </c>
      <c r="B857" t="s">
        <v>1395</v>
      </c>
      <c r="C857">
        <v>17.8</v>
      </c>
    </row>
    <row r="858" spans="1:3">
      <c r="A858">
        <v>913889</v>
      </c>
      <c r="B858" t="s">
        <v>1396</v>
      </c>
      <c r="C858">
        <v>2.1</v>
      </c>
    </row>
    <row r="859" spans="1:3">
      <c r="A859">
        <v>9157</v>
      </c>
      <c r="B859" t="s">
        <v>1397</v>
      </c>
      <c r="C859">
        <v>1.51</v>
      </c>
    </row>
    <row r="860" spans="1:3">
      <c r="A860">
        <v>9188</v>
      </c>
      <c r="B860" t="s">
        <v>1398</v>
      </c>
      <c r="C860">
        <v>3.98</v>
      </c>
    </row>
    <row r="861" spans="1:3">
      <c r="A861">
        <v>9802</v>
      </c>
      <c r="B861" t="s">
        <v>1399</v>
      </c>
      <c r="C861">
        <v>52.5</v>
      </c>
    </row>
    <row r="862" spans="1:3">
      <c r="A862">
        <v>9902</v>
      </c>
      <c r="B862" t="s">
        <v>1400</v>
      </c>
      <c r="C862">
        <v>10.1</v>
      </c>
    </row>
    <row r="863" spans="1:3">
      <c r="A863">
        <v>9904</v>
      </c>
      <c r="B863" t="s">
        <v>1401</v>
      </c>
      <c r="C863">
        <v>46.45</v>
      </c>
    </row>
    <row r="864" spans="1:3">
      <c r="A864">
        <v>9905</v>
      </c>
      <c r="B864" t="s">
        <v>1402</v>
      </c>
      <c r="C864">
        <v>28.95</v>
      </c>
    </row>
    <row r="865" spans="1:3">
      <c r="A865">
        <v>9906</v>
      </c>
      <c r="B865" t="s">
        <v>1403</v>
      </c>
      <c r="C865">
        <v>14.25</v>
      </c>
    </row>
    <row r="866" spans="1:3">
      <c r="A866">
        <v>9907</v>
      </c>
      <c r="B866" t="s">
        <v>1404</v>
      </c>
      <c r="C866">
        <v>15.2</v>
      </c>
    </row>
    <row r="867" spans="1:3">
      <c r="A867">
        <v>9908</v>
      </c>
      <c r="B867" t="s">
        <v>1405</v>
      </c>
      <c r="C867">
        <v>22.1</v>
      </c>
    </row>
    <row r="868" spans="1:3">
      <c r="A868">
        <v>9910</v>
      </c>
      <c r="B868" t="s">
        <v>1406</v>
      </c>
      <c r="C868">
        <v>186</v>
      </c>
    </row>
    <row r="869" spans="1:3">
      <c r="A869">
        <v>9911</v>
      </c>
      <c r="B869" t="s">
        <v>1407</v>
      </c>
      <c r="C869">
        <v>18.2</v>
      </c>
    </row>
    <row r="870" spans="1:3">
      <c r="A870">
        <v>9912</v>
      </c>
      <c r="B870" t="s">
        <v>1408</v>
      </c>
      <c r="C870">
        <v>9.2200000000000006</v>
      </c>
    </row>
    <row r="871" spans="1:3">
      <c r="A871">
        <v>9914</v>
      </c>
      <c r="B871" t="s">
        <v>1409</v>
      </c>
      <c r="C871">
        <v>185.5</v>
      </c>
    </row>
    <row r="872" spans="1:3">
      <c r="A872">
        <v>9917</v>
      </c>
      <c r="B872" t="s">
        <v>1410</v>
      </c>
      <c r="C872">
        <v>98.9</v>
      </c>
    </row>
    <row r="873" spans="1:3">
      <c r="A873">
        <v>9918</v>
      </c>
      <c r="B873" t="s">
        <v>1411</v>
      </c>
      <c r="C873">
        <v>31</v>
      </c>
    </row>
    <row r="874" spans="1:3">
      <c r="A874">
        <v>9919</v>
      </c>
      <c r="B874" t="s">
        <v>1412</v>
      </c>
      <c r="C874">
        <v>11.85</v>
      </c>
    </row>
    <row r="875" spans="1:3">
      <c r="A875">
        <v>9921</v>
      </c>
      <c r="B875" t="s">
        <v>1413</v>
      </c>
      <c r="C875">
        <v>227</v>
      </c>
    </row>
    <row r="876" spans="1:3">
      <c r="A876">
        <v>9924</v>
      </c>
      <c r="B876" t="s">
        <v>1414</v>
      </c>
      <c r="C876">
        <v>49.2</v>
      </c>
    </row>
    <row r="877" spans="1:3">
      <c r="A877">
        <v>9925</v>
      </c>
      <c r="B877" t="s">
        <v>1415</v>
      </c>
      <c r="C877">
        <v>39.15</v>
      </c>
    </row>
    <row r="878" spans="1:3">
      <c r="A878">
        <v>9926</v>
      </c>
      <c r="B878" t="s">
        <v>1416</v>
      </c>
      <c r="C878">
        <v>40.5</v>
      </c>
    </row>
    <row r="879" spans="1:3">
      <c r="A879">
        <v>9927</v>
      </c>
      <c r="B879" t="s">
        <v>1417</v>
      </c>
      <c r="C879">
        <v>27.35</v>
      </c>
    </row>
    <row r="880" spans="1:3">
      <c r="A880">
        <v>9928</v>
      </c>
      <c r="B880" t="s">
        <v>1418</v>
      </c>
      <c r="C880">
        <v>11.15</v>
      </c>
    </row>
    <row r="881" spans="1:3">
      <c r="A881">
        <v>9929</v>
      </c>
      <c r="B881" t="s">
        <v>1419</v>
      </c>
      <c r="C881">
        <v>13.1</v>
      </c>
    </row>
    <row r="882" spans="1:3">
      <c r="A882">
        <v>9930</v>
      </c>
      <c r="B882" t="s">
        <v>1420</v>
      </c>
      <c r="C882">
        <v>61.5</v>
      </c>
    </row>
    <row r="883" spans="1:3">
      <c r="A883">
        <v>9931</v>
      </c>
      <c r="B883" t="s">
        <v>1421</v>
      </c>
      <c r="C883" t="s">
        <v>1904</v>
      </c>
    </row>
    <row r="884" spans="1:3">
      <c r="A884">
        <v>9933</v>
      </c>
      <c r="B884" t="s">
        <v>1422</v>
      </c>
      <c r="C884">
        <v>36.15</v>
      </c>
    </row>
    <row r="885" spans="1:3">
      <c r="A885">
        <v>9934</v>
      </c>
      <c r="B885" t="s">
        <v>1423</v>
      </c>
      <c r="C885">
        <v>14.7</v>
      </c>
    </row>
    <row r="886" spans="1:3">
      <c r="A886">
        <v>9935</v>
      </c>
      <c r="B886" t="s">
        <v>1424</v>
      </c>
      <c r="C886">
        <v>11.7</v>
      </c>
    </row>
    <row r="887" spans="1:3">
      <c r="A887">
        <v>9937</v>
      </c>
      <c r="B887" t="s">
        <v>1425</v>
      </c>
      <c r="C887">
        <v>36.299999999999997</v>
      </c>
    </row>
    <row r="888" spans="1:3">
      <c r="A888">
        <v>9938</v>
      </c>
      <c r="B888" t="s">
        <v>1426</v>
      </c>
      <c r="C888">
        <v>75.2</v>
      </c>
    </row>
    <row r="889" spans="1:3">
      <c r="A889">
        <v>9939</v>
      </c>
      <c r="B889" t="s">
        <v>1427</v>
      </c>
      <c r="C889">
        <v>50.1</v>
      </c>
    </row>
    <row r="890" spans="1:3">
      <c r="A890">
        <v>9940</v>
      </c>
      <c r="B890" t="s">
        <v>1428</v>
      </c>
      <c r="C890">
        <v>27.95</v>
      </c>
    </row>
    <row r="891" spans="1:3">
      <c r="A891">
        <v>9941</v>
      </c>
      <c r="B891" t="s">
        <v>1429</v>
      </c>
      <c r="C891">
        <v>74.900000000000006</v>
      </c>
    </row>
    <row r="892" spans="1:3">
      <c r="A892">
        <v>9942</v>
      </c>
      <c r="B892" t="s">
        <v>1430</v>
      </c>
      <c r="C892">
        <v>73.5</v>
      </c>
    </row>
    <row r="893" spans="1:3">
      <c r="A893">
        <v>9943</v>
      </c>
      <c r="B893" t="s">
        <v>1431</v>
      </c>
      <c r="C893">
        <v>57.5</v>
      </c>
    </row>
    <row r="894" spans="1:3">
      <c r="A894">
        <v>9944</v>
      </c>
      <c r="B894" t="s">
        <v>1432</v>
      </c>
      <c r="C894">
        <v>30.35</v>
      </c>
    </row>
    <row r="895" spans="1:3">
      <c r="A895">
        <v>9945</v>
      </c>
      <c r="B895" t="s">
        <v>1433</v>
      </c>
      <c r="C895">
        <v>42.7</v>
      </c>
    </row>
    <row r="896" spans="1:3">
      <c r="A896">
        <v>9946</v>
      </c>
      <c r="B896" t="s">
        <v>1434</v>
      </c>
      <c r="C896">
        <v>14.3</v>
      </c>
    </row>
    <row r="897" spans="1:3">
      <c r="A897">
        <v>9955</v>
      </c>
      <c r="B897" t="s">
        <v>1435</v>
      </c>
      <c r="C897">
        <v>15.1</v>
      </c>
    </row>
    <row r="898" spans="1:3">
      <c r="A898">
        <v>9958</v>
      </c>
      <c r="B898" t="s">
        <v>1436</v>
      </c>
      <c r="C898">
        <v>9.99</v>
      </c>
    </row>
    <row r="899" spans="1:3">
      <c r="A899">
        <v>6201</v>
      </c>
      <c r="B899" t="s">
        <v>1437</v>
      </c>
      <c r="C899">
        <v>11.65</v>
      </c>
    </row>
    <row r="900" spans="1:3">
      <c r="A900">
        <v>1256</v>
      </c>
      <c r="B900" t="s">
        <v>1438</v>
      </c>
      <c r="C900">
        <v>139</v>
      </c>
    </row>
    <row r="901" spans="1:3">
      <c r="A901">
        <v>1258</v>
      </c>
      <c r="B901" t="s">
        <v>1439</v>
      </c>
      <c r="C901">
        <v>41.6</v>
      </c>
    </row>
    <row r="902" spans="1:3">
      <c r="A902">
        <v>1259</v>
      </c>
      <c r="B902" t="s">
        <v>261</v>
      </c>
      <c r="C902">
        <v>63.6</v>
      </c>
    </row>
    <row r="903" spans="1:3">
      <c r="A903">
        <v>1264</v>
      </c>
      <c r="B903" t="s">
        <v>262</v>
      </c>
      <c r="C903">
        <v>191</v>
      </c>
    </row>
    <row r="904" spans="1:3">
      <c r="A904">
        <v>1333</v>
      </c>
      <c r="B904" t="s">
        <v>263</v>
      </c>
      <c r="C904">
        <v>5.9</v>
      </c>
    </row>
    <row r="905" spans="1:3">
      <c r="A905">
        <v>1336</v>
      </c>
      <c r="B905" t="s">
        <v>264</v>
      </c>
      <c r="C905">
        <v>8.4600000000000009</v>
      </c>
    </row>
    <row r="906" spans="1:3">
      <c r="A906">
        <v>1565</v>
      </c>
      <c r="B906" t="s">
        <v>1440</v>
      </c>
      <c r="C906">
        <v>614</v>
      </c>
    </row>
    <row r="907" spans="1:3">
      <c r="A907">
        <v>1566</v>
      </c>
      <c r="B907" t="s">
        <v>265</v>
      </c>
      <c r="C907">
        <v>23.7</v>
      </c>
    </row>
    <row r="908" spans="1:3">
      <c r="A908">
        <v>1569</v>
      </c>
      <c r="B908" t="s">
        <v>266</v>
      </c>
      <c r="C908">
        <v>10.35</v>
      </c>
    </row>
    <row r="909" spans="1:3">
      <c r="A909">
        <v>1570</v>
      </c>
      <c r="B909" t="s">
        <v>1441</v>
      </c>
      <c r="C909">
        <v>19.2</v>
      </c>
    </row>
    <row r="910" spans="1:3">
      <c r="A910">
        <v>1580</v>
      </c>
      <c r="B910" t="s">
        <v>1442</v>
      </c>
      <c r="C910">
        <v>115</v>
      </c>
    </row>
    <row r="911" spans="1:3">
      <c r="A911">
        <v>1584</v>
      </c>
      <c r="B911" t="s">
        <v>1443</v>
      </c>
      <c r="C911">
        <v>13.5</v>
      </c>
    </row>
    <row r="912" spans="1:3">
      <c r="A912">
        <v>1586</v>
      </c>
      <c r="B912" t="s">
        <v>1444</v>
      </c>
      <c r="C912">
        <v>32.549999999999997</v>
      </c>
    </row>
    <row r="913" spans="1:3">
      <c r="A913">
        <v>1591</v>
      </c>
      <c r="B913" t="s">
        <v>1445</v>
      </c>
      <c r="C913">
        <v>25.4</v>
      </c>
    </row>
    <row r="914" spans="1:3">
      <c r="A914">
        <v>1593</v>
      </c>
      <c r="B914" t="s">
        <v>267</v>
      </c>
      <c r="C914">
        <v>40.85</v>
      </c>
    </row>
    <row r="915" spans="1:3">
      <c r="A915">
        <v>1595</v>
      </c>
      <c r="B915" t="s">
        <v>1446</v>
      </c>
      <c r="C915">
        <v>59.6</v>
      </c>
    </row>
    <row r="916" spans="1:3">
      <c r="A916">
        <v>1597</v>
      </c>
      <c r="B916" t="s">
        <v>268</v>
      </c>
      <c r="C916">
        <v>29.5</v>
      </c>
    </row>
    <row r="917" spans="1:3">
      <c r="A917">
        <v>1599</v>
      </c>
      <c r="B917" t="s">
        <v>1447</v>
      </c>
      <c r="C917">
        <v>62</v>
      </c>
    </row>
    <row r="918" spans="1:3">
      <c r="A918">
        <v>1742</v>
      </c>
      <c r="B918" t="s">
        <v>539</v>
      </c>
      <c r="C918">
        <v>12.6</v>
      </c>
    </row>
    <row r="919" spans="1:3">
      <c r="A919">
        <v>1752</v>
      </c>
      <c r="B919" t="s">
        <v>269</v>
      </c>
      <c r="C919">
        <v>48.6</v>
      </c>
    </row>
    <row r="920" spans="1:3">
      <c r="A920">
        <v>1777</v>
      </c>
      <c r="B920" t="s">
        <v>270</v>
      </c>
      <c r="C920">
        <v>91.6</v>
      </c>
    </row>
    <row r="921" spans="1:3">
      <c r="A921">
        <v>1781</v>
      </c>
      <c r="B921" t="s">
        <v>1448</v>
      </c>
      <c r="C921">
        <v>26.35</v>
      </c>
    </row>
    <row r="922" spans="1:3">
      <c r="A922">
        <v>1784</v>
      </c>
      <c r="B922" t="s">
        <v>1449</v>
      </c>
      <c r="C922">
        <v>38.299999999999997</v>
      </c>
    </row>
    <row r="923" spans="1:3">
      <c r="A923">
        <v>1785</v>
      </c>
      <c r="B923" t="s">
        <v>1450</v>
      </c>
      <c r="C923">
        <v>19.100000000000001</v>
      </c>
    </row>
    <row r="924" spans="1:3">
      <c r="A924">
        <v>1787</v>
      </c>
      <c r="B924" t="s">
        <v>271</v>
      </c>
      <c r="C924">
        <v>23.65</v>
      </c>
    </row>
    <row r="925" spans="1:3">
      <c r="A925">
        <v>1788</v>
      </c>
      <c r="B925" t="s">
        <v>1451</v>
      </c>
      <c r="C925">
        <v>95</v>
      </c>
    </row>
    <row r="926" spans="1:3">
      <c r="A926">
        <v>1795</v>
      </c>
      <c r="B926" t="s">
        <v>1452</v>
      </c>
      <c r="C926">
        <v>72.8</v>
      </c>
    </row>
    <row r="927" spans="1:3">
      <c r="A927">
        <v>1799</v>
      </c>
      <c r="B927" t="s">
        <v>272</v>
      </c>
      <c r="C927">
        <v>34.799999999999997</v>
      </c>
    </row>
    <row r="928" spans="1:3">
      <c r="A928">
        <v>1813</v>
      </c>
      <c r="B928" t="s">
        <v>273</v>
      </c>
      <c r="C928">
        <v>30</v>
      </c>
    </row>
    <row r="929" spans="1:3">
      <c r="A929">
        <v>1815</v>
      </c>
      <c r="B929" t="s">
        <v>1453</v>
      </c>
      <c r="C929">
        <v>11.1</v>
      </c>
    </row>
    <row r="930" spans="1:3">
      <c r="A930">
        <v>2035</v>
      </c>
      <c r="B930" t="s">
        <v>1454</v>
      </c>
      <c r="C930">
        <v>46</v>
      </c>
    </row>
    <row r="931" spans="1:3">
      <c r="A931">
        <v>2061</v>
      </c>
      <c r="B931" t="s">
        <v>274</v>
      </c>
      <c r="C931">
        <v>13.1</v>
      </c>
    </row>
    <row r="932" spans="1:3">
      <c r="A932">
        <v>2063</v>
      </c>
      <c r="B932" t="s">
        <v>275</v>
      </c>
      <c r="C932">
        <v>23.9</v>
      </c>
    </row>
    <row r="933" spans="1:3">
      <c r="A933">
        <v>2064</v>
      </c>
      <c r="B933" t="s">
        <v>276</v>
      </c>
      <c r="C933">
        <v>17</v>
      </c>
    </row>
    <row r="934" spans="1:3">
      <c r="A934">
        <v>2066</v>
      </c>
      <c r="B934" t="s">
        <v>277</v>
      </c>
      <c r="C934">
        <v>119</v>
      </c>
    </row>
    <row r="935" spans="1:3">
      <c r="A935">
        <v>2067</v>
      </c>
      <c r="B935" t="s">
        <v>1455</v>
      </c>
      <c r="C935">
        <v>14.85</v>
      </c>
    </row>
    <row r="936" spans="1:3">
      <c r="A936">
        <v>2221</v>
      </c>
      <c r="B936" t="s">
        <v>1456</v>
      </c>
      <c r="C936">
        <v>19.399999999999999</v>
      </c>
    </row>
    <row r="937" spans="1:3">
      <c r="A937">
        <v>2230</v>
      </c>
      <c r="B937" t="s">
        <v>278</v>
      </c>
      <c r="C937">
        <v>14.4</v>
      </c>
    </row>
    <row r="938" spans="1:3">
      <c r="A938">
        <v>2233</v>
      </c>
      <c r="B938" t="s">
        <v>279</v>
      </c>
      <c r="C938">
        <v>78.8</v>
      </c>
    </row>
    <row r="939" spans="1:3">
      <c r="A939">
        <v>2235</v>
      </c>
      <c r="B939" t="s">
        <v>280</v>
      </c>
      <c r="C939">
        <v>138.5</v>
      </c>
    </row>
    <row r="940" spans="1:3">
      <c r="A940">
        <v>2596</v>
      </c>
      <c r="B940" t="s">
        <v>1457</v>
      </c>
      <c r="C940">
        <v>12.5</v>
      </c>
    </row>
    <row r="941" spans="1:3">
      <c r="A941">
        <v>2636</v>
      </c>
      <c r="B941" t="s">
        <v>1458</v>
      </c>
      <c r="C941">
        <v>30</v>
      </c>
    </row>
    <row r="942" spans="1:3">
      <c r="A942">
        <v>2640</v>
      </c>
      <c r="B942" t="s">
        <v>1459</v>
      </c>
      <c r="C942">
        <v>68.8</v>
      </c>
    </row>
    <row r="943" spans="1:3">
      <c r="A943">
        <v>2641</v>
      </c>
      <c r="B943" t="s">
        <v>1460</v>
      </c>
      <c r="C943">
        <v>9</v>
      </c>
    </row>
    <row r="944" spans="1:3">
      <c r="A944">
        <v>2718</v>
      </c>
      <c r="B944" t="s">
        <v>1893</v>
      </c>
      <c r="C944">
        <v>35.299999999999997</v>
      </c>
    </row>
    <row r="945" spans="1:3">
      <c r="A945">
        <v>2719</v>
      </c>
      <c r="B945" t="s">
        <v>282</v>
      </c>
      <c r="C945">
        <v>17.55</v>
      </c>
    </row>
    <row r="946" spans="1:3">
      <c r="A946">
        <v>2724</v>
      </c>
      <c r="B946" t="s">
        <v>1461</v>
      </c>
      <c r="C946">
        <v>14.5</v>
      </c>
    </row>
    <row r="947" spans="1:3">
      <c r="A947">
        <v>2726</v>
      </c>
      <c r="B947" t="s">
        <v>1462</v>
      </c>
      <c r="C947">
        <v>57.5</v>
      </c>
    </row>
    <row r="948" spans="1:3">
      <c r="A948">
        <v>2729</v>
      </c>
      <c r="B948" t="s">
        <v>1463</v>
      </c>
      <c r="C948">
        <v>230.5</v>
      </c>
    </row>
    <row r="949" spans="1:3">
      <c r="A949">
        <v>2732</v>
      </c>
      <c r="B949" t="s">
        <v>1464</v>
      </c>
      <c r="C949">
        <v>88.6</v>
      </c>
    </row>
    <row r="950" spans="1:3">
      <c r="A950">
        <v>2734</v>
      </c>
      <c r="B950" t="s">
        <v>283</v>
      </c>
      <c r="C950">
        <v>0</v>
      </c>
    </row>
    <row r="951" spans="1:3">
      <c r="A951">
        <v>2916</v>
      </c>
      <c r="B951" t="s">
        <v>1465</v>
      </c>
      <c r="C951">
        <v>18</v>
      </c>
    </row>
    <row r="952" spans="1:3">
      <c r="A952">
        <v>2924</v>
      </c>
      <c r="B952" t="s">
        <v>1466</v>
      </c>
      <c r="C952">
        <v>59.2</v>
      </c>
    </row>
    <row r="953" spans="1:3">
      <c r="A953">
        <v>2926</v>
      </c>
      <c r="B953" t="s">
        <v>1467</v>
      </c>
      <c r="C953">
        <v>155</v>
      </c>
    </row>
    <row r="954" spans="1:3">
      <c r="A954">
        <v>3064</v>
      </c>
      <c r="B954" t="s">
        <v>1468</v>
      </c>
      <c r="C954">
        <v>21</v>
      </c>
    </row>
    <row r="955" spans="1:3">
      <c r="A955">
        <v>3066</v>
      </c>
      <c r="B955" t="s">
        <v>1469</v>
      </c>
      <c r="C955">
        <v>7.8</v>
      </c>
    </row>
    <row r="956" spans="1:3">
      <c r="A956">
        <v>3067</v>
      </c>
      <c r="B956" t="s">
        <v>284</v>
      </c>
      <c r="C956">
        <v>12.6</v>
      </c>
    </row>
    <row r="957" spans="1:3">
      <c r="A957">
        <v>3068</v>
      </c>
      <c r="B957" t="s">
        <v>285</v>
      </c>
      <c r="C957">
        <v>32.25</v>
      </c>
    </row>
    <row r="958" spans="1:3">
      <c r="A958">
        <v>3071</v>
      </c>
      <c r="B958" t="s">
        <v>1470</v>
      </c>
      <c r="C958">
        <v>6.47</v>
      </c>
    </row>
    <row r="959" spans="1:3">
      <c r="A959">
        <v>3073</v>
      </c>
      <c r="B959" t="s">
        <v>1471</v>
      </c>
      <c r="C959">
        <v>5.93</v>
      </c>
    </row>
    <row r="960" spans="1:3">
      <c r="A960">
        <v>3078</v>
      </c>
      <c r="B960" t="s">
        <v>1472</v>
      </c>
      <c r="C960">
        <v>20.05</v>
      </c>
    </row>
    <row r="961" spans="1:3">
      <c r="A961">
        <v>3081</v>
      </c>
      <c r="B961" t="s">
        <v>1473</v>
      </c>
      <c r="C961">
        <v>419</v>
      </c>
    </row>
    <row r="962" spans="1:3">
      <c r="A962">
        <v>3083</v>
      </c>
      <c r="B962" t="s">
        <v>1474</v>
      </c>
      <c r="C962">
        <v>36.1</v>
      </c>
    </row>
    <row r="963" spans="1:3">
      <c r="A963">
        <v>3085</v>
      </c>
      <c r="B963" t="s">
        <v>286</v>
      </c>
      <c r="C963">
        <v>6.93</v>
      </c>
    </row>
    <row r="964" spans="1:3">
      <c r="A964">
        <v>3086</v>
      </c>
      <c r="B964" t="s">
        <v>1475</v>
      </c>
      <c r="C964">
        <v>12.6</v>
      </c>
    </row>
    <row r="965" spans="1:3">
      <c r="A965">
        <v>3088</v>
      </c>
      <c r="B965" t="s">
        <v>287</v>
      </c>
      <c r="C965">
        <v>68.7</v>
      </c>
    </row>
    <row r="966" spans="1:3">
      <c r="A966">
        <v>3089</v>
      </c>
      <c r="B966" t="s">
        <v>288</v>
      </c>
      <c r="C966">
        <v>20.6</v>
      </c>
    </row>
    <row r="967" spans="1:3">
      <c r="A967">
        <v>3092</v>
      </c>
      <c r="B967" t="s">
        <v>289</v>
      </c>
      <c r="C967">
        <v>17.100000000000001</v>
      </c>
    </row>
    <row r="968" spans="1:3">
      <c r="A968">
        <v>3093</v>
      </c>
      <c r="B968" t="s">
        <v>290</v>
      </c>
      <c r="C968">
        <v>29.95</v>
      </c>
    </row>
    <row r="969" spans="1:3">
      <c r="A969">
        <v>3095</v>
      </c>
      <c r="B969" t="s">
        <v>291</v>
      </c>
      <c r="C969">
        <v>6.03</v>
      </c>
    </row>
    <row r="970" spans="1:3">
      <c r="A970">
        <v>3105</v>
      </c>
      <c r="B970" t="s">
        <v>292</v>
      </c>
      <c r="C970">
        <v>49.5</v>
      </c>
    </row>
    <row r="971" spans="1:3">
      <c r="A971">
        <v>3114</v>
      </c>
      <c r="B971" t="s">
        <v>1476</v>
      </c>
      <c r="C971">
        <v>14.1</v>
      </c>
    </row>
    <row r="972" spans="1:3">
      <c r="A972">
        <v>3115</v>
      </c>
      <c r="B972" t="s">
        <v>1477</v>
      </c>
      <c r="C972">
        <v>12.75</v>
      </c>
    </row>
    <row r="973" spans="1:3">
      <c r="A973">
        <v>3118</v>
      </c>
      <c r="B973" t="s">
        <v>1478</v>
      </c>
      <c r="C973">
        <v>41.2</v>
      </c>
    </row>
    <row r="974" spans="1:3">
      <c r="A974">
        <v>3122</v>
      </c>
      <c r="B974" t="s">
        <v>1479</v>
      </c>
      <c r="C974">
        <v>15.45</v>
      </c>
    </row>
    <row r="975" spans="1:3">
      <c r="A975">
        <v>3128</v>
      </c>
      <c r="B975" t="s">
        <v>1480</v>
      </c>
      <c r="C975">
        <v>12.7</v>
      </c>
    </row>
    <row r="976" spans="1:3">
      <c r="A976">
        <v>3131</v>
      </c>
      <c r="B976" t="s">
        <v>1481</v>
      </c>
      <c r="C976">
        <v>187</v>
      </c>
    </row>
    <row r="977" spans="1:3">
      <c r="A977">
        <v>3141</v>
      </c>
      <c r="B977" t="s">
        <v>293</v>
      </c>
      <c r="C977">
        <v>19</v>
      </c>
    </row>
    <row r="978" spans="1:3">
      <c r="A978">
        <v>3144</v>
      </c>
      <c r="B978" t="s">
        <v>294</v>
      </c>
      <c r="C978">
        <v>16.05</v>
      </c>
    </row>
    <row r="979" spans="1:3">
      <c r="A979">
        <v>3152</v>
      </c>
      <c r="B979" t="s">
        <v>1482</v>
      </c>
      <c r="C979">
        <v>227.5</v>
      </c>
    </row>
    <row r="980" spans="1:3">
      <c r="A980">
        <v>3162</v>
      </c>
      <c r="B980" t="s">
        <v>1483</v>
      </c>
      <c r="C980">
        <v>0</v>
      </c>
    </row>
    <row r="981" spans="1:3">
      <c r="A981">
        <v>3163</v>
      </c>
      <c r="B981" t="s">
        <v>295</v>
      </c>
      <c r="C981">
        <v>33.799999999999997</v>
      </c>
    </row>
    <row r="982" spans="1:3">
      <c r="A982">
        <v>3169</v>
      </c>
      <c r="B982" t="s">
        <v>1484</v>
      </c>
      <c r="C982">
        <v>29.6</v>
      </c>
    </row>
    <row r="983" spans="1:3">
      <c r="A983">
        <v>3171</v>
      </c>
      <c r="B983" t="s">
        <v>1485</v>
      </c>
      <c r="C983">
        <v>21.9</v>
      </c>
    </row>
    <row r="984" spans="1:3">
      <c r="A984">
        <v>3176</v>
      </c>
      <c r="B984" t="s">
        <v>296</v>
      </c>
      <c r="C984">
        <v>88</v>
      </c>
    </row>
    <row r="985" spans="1:3">
      <c r="A985">
        <v>3188</v>
      </c>
      <c r="B985" t="s">
        <v>297</v>
      </c>
      <c r="C985">
        <v>10.15</v>
      </c>
    </row>
    <row r="986" spans="1:3">
      <c r="A986">
        <v>3191</v>
      </c>
      <c r="B986" t="s">
        <v>1486</v>
      </c>
      <c r="C986">
        <v>14.55</v>
      </c>
    </row>
    <row r="987" spans="1:3">
      <c r="A987">
        <v>3202</v>
      </c>
      <c r="B987" t="s">
        <v>1487</v>
      </c>
      <c r="C987">
        <v>6.2</v>
      </c>
    </row>
    <row r="988" spans="1:3">
      <c r="A988">
        <v>3205</v>
      </c>
      <c r="B988" t="s">
        <v>298</v>
      </c>
      <c r="C988">
        <v>334.5</v>
      </c>
    </row>
    <row r="989" spans="1:3">
      <c r="A989">
        <v>3206</v>
      </c>
      <c r="B989" t="s">
        <v>1488</v>
      </c>
      <c r="C989">
        <v>22.7</v>
      </c>
    </row>
    <row r="990" spans="1:3">
      <c r="A990">
        <v>3207</v>
      </c>
      <c r="B990" t="s">
        <v>299</v>
      </c>
      <c r="C990">
        <v>7.6</v>
      </c>
    </row>
    <row r="991" spans="1:3">
      <c r="A991">
        <v>3211</v>
      </c>
      <c r="B991" t="s">
        <v>1489</v>
      </c>
      <c r="C991">
        <v>52.6</v>
      </c>
    </row>
    <row r="992" spans="1:3">
      <c r="A992">
        <v>3213</v>
      </c>
      <c r="B992" t="s">
        <v>1490</v>
      </c>
      <c r="C992">
        <v>44.3</v>
      </c>
    </row>
    <row r="993" spans="1:3">
      <c r="A993">
        <v>3217</v>
      </c>
      <c r="B993" t="s">
        <v>1491</v>
      </c>
      <c r="C993">
        <v>12.8</v>
      </c>
    </row>
    <row r="994" spans="1:3">
      <c r="A994">
        <v>3218</v>
      </c>
      <c r="B994" t="s">
        <v>300</v>
      </c>
      <c r="C994">
        <v>26.25</v>
      </c>
    </row>
    <row r="995" spans="1:3">
      <c r="A995">
        <v>3219</v>
      </c>
      <c r="B995" t="s">
        <v>1492</v>
      </c>
      <c r="C995">
        <v>10.050000000000001</v>
      </c>
    </row>
    <row r="996" spans="1:3">
      <c r="A996">
        <v>3221</v>
      </c>
      <c r="B996" t="s">
        <v>1493</v>
      </c>
      <c r="C996">
        <v>19.100000000000001</v>
      </c>
    </row>
    <row r="997" spans="1:3">
      <c r="A997">
        <v>3224</v>
      </c>
      <c r="B997" t="s">
        <v>1494</v>
      </c>
      <c r="C997">
        <v>38.200000000000003</v>
      </c>
    </row>
    <row r="998" spans="1:3">
      <c r="A998">
        <v>3226</v>
      </c>
      <c r="B998" t="s">
        <v>301</v>
      </c>
      <c r="C998">
        <v>58</v>
      </c>
    </row>
    <row r="999" spans="1:3">
      <c r="A999">
        <v>3227</v>
      </c>
      <c r="B999" t="s">
        <v>302</v>
      </c>
      <c r="C999">
        <v>74.900000000000006</v>
      </c>
    </row>
    <row r="1000" spans="1:3">
      <c r="A1000">
        <v>3228</v>
      </c>
      <c r="B1000" t="s">
        <v>303</v>
      </c>
      <c r="C1000">
        <v>22.4</v>
      </c>
    </row>
    <row r="1001" spans="1:3">
      <c r="A1001">
        <v>3230</v>
      </c>
      <c r="B1001" t="s">
        <v>1495</v>
      </c>
      <c r="C1001">
        <v>6.18</v>
      </c>
    </row>
    <row r="1002" spans="1:3">
      <c r="A1002">
        <v>3232</v>
      </c>
      <c r="B1002" t="s">
        <v>304</v>
      </c>
      <c r="C1002">
        <v>30</v>
      </c>
    </row>
    <row r="1003" spans="1:3">
      <c r="A1003">
        <v>3234</v>
      </c>
      <c r="B1003" t="s">
        <v>305</v>
      </c>
      <c r="C1003">
        <v>100.5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20.8</v>
      </c>
    </row>
    <row r="1006" spans="1:3">
      <c r="A1006">
        <v>3259</v>
      </c>
      <c r="B1006" t="s">
        <v>1496</v>
      </c>
      <c r="C1006">
        <v>28.15</v>
      </c>
    </row>
    <row r="1007" spans="1:3">
      <c r="A1007">
        <v>3260</v>
      </c>
      <c r="B1007" t="s">
        <v>1497</v>
      </c>
      <c r="C1007">
        <v>30.8</v>
      </c>
    </row>
    <row r="1008" spans="1:3">
      <c r="A1008">
        <v>3264</v>
      </c>
      <c r="B1008" t="s">
        <v>1498</v>
      </c>
      <c r="C1008">
        <v>23.8</v>
      </c>
    </row>
    <row r="1009" spans="1:3">
      <c r="A1009">
        <v>3265</v>
      </c>
      <c r="B1009" t="s">
        <v>308</v>
      </c>
      <c r="C1009">
        <v>22.55</v>
      </c>
    </row>
    <row r="1010" spans="1:3">
      <c r="A1010">
        <v>3268</v>
      </c>
      <c r="B1010" t="s">
        <v>309</v>
      </c>
      <c r="C1010">
        <v>14.6</v>
      </c>
    </row>
    <row r="1011" spans="1:3">
      <c r="A1011">
        <v>3272</v>
      </c>
      <c r="B1011" t="s">
        <v>310</v>
      </c>
      <c r="C1011">
        <v>65</v>
      </c>
    </row>
    <row r="1012" spans="1:3">
      <c r="A1012">
        <v>3276</v>
      </c>
      <c r="B1012" t="s">
        <v>1499</v>
      </c>
      <c r="C1012">
        <v>9.39</v>
      </c>
    </row>
    <row r="1013" spans="1:3">
      <c r="A1013">
        <v>3284</v>
      </c>
      <c r="B1013" t="s">
        <v>311</v>
      </c>
      <c r="C1013">
        <v>9.59</v>
      </c>
    </row>
    <row r="1014" spans="1:3">
      <c r="A1014">
        <v>3285</v>
      </c>
      <c r="B1014" t="s">
        <v>312</v>
      </c>
      <c r="C1014">
        <v>31.85</v>
      </c>
    </row>
    <row r="1015" spans="1:3">
      <c r="A1015">
        <v>3287</v>
      </c>
      <c r="B1015" t="s">
        <v>1500</v>
      </c>
      <c r="C1015">
        <v>9.1199999999999992</v>
      </c>
    </row>
    <row r="1016" spans="1:3">
      <c r="A1016">
        <v>3288</v>
      </c>
      <c r="B1016" t="s">
        <v>1501</v>
      </c>
      <c r="C1016">
        <v>7.51</v>
      </c>
    </row>
    <row r="1017" spans="1:3">
      <c r="A1017">
        <v>3289</v>
      </c>
      <c r="B1017" t="s">
        <v>1502</v>
      </c>
      <c r="C1017">
        <v>89.5</v>
      </c>
    </row>
    <row r="1018" spans="1:3">
      <c r="A1018">
        <v>3290</v>
      </c>
      <c r="B1018" t="s">
        <v>1503</v>
      </c>
      <c r="C1018">
        <v>15</v>
      </c>
    </row>
    <row r="1019" spans="1:3">
      <c r="A1019">
        <v>3291</v>
      </c>
      <c r="B1019" t="s">
        <v>313</v>
      </c>
      <c r="C1019">
        <v>16.899999999999999</v>
      </c>
    </row>
    <row r="1020" spans="1:3">
      <c r="A1020">
        <v>3293</v>
      </c>
      <c r="B1020" t="s">
        <v>1504</v>
      </c>
      <c r="C1020">
        <v>83.6</v>
      </c>
    </row>
    <row r="1021" spans="1:3">
      <c r="A1021">
        <v>3294</v>
      </c>
      <c r="B1021" t="s">
        <v>314</v>
      </c>
      <c r="C1021">
        <v>19.649999999999999</v>
      </c>
    </row>
    <row r="1022" spans="1:3">
      <c r="A1022">
        <v>3297</v>
      </c>
      <c r="B1022" t="s">
        <v>315</v>
      </c>
      <c r="C1022">
        <v>18.3</v>
      </c>
    </row>
    <row r="1023" spans="1:3">
      <c r="A1023">
        <v>3299</v>
      </c>
      <c r="B1023" t="s">
        <v>316</v>
      </c>
      <c r="C1023">
        <v>52.6</v>
      </c>
    </row>
    <row r="1024" spans="1:3">
      <c r="A1024">
        <v>3303</v>
      </c>
      <c r="B1024" t="s">
        <v>317</v>
      </c>
      <c r="C1024">
        <v>17.899999999999999</v>
      </c>
    </row>
    <row r="1025" spans="1:3">
      <c r="A1025">
        <v>3306</v>
      </c>
      <c r="B1025" t="s">
        <v>1505</v>
      </c>
      <c r="C1025">
        <v>24.85</v>
      </c>
    </row>
    <row r="1026" spans="1:3">
      <c r="A1026">
        <v>3310</v>
      </c>
      <c r="B1026" t="s">
        <v>1506</v>
      </c>
      <c r="C1026">
        <v>13</v>
      </c>
    </row>
    <row r="1027" spans="1:3">
      <c r="A1027">
        <v>3313</v>
      </c>
      <c r="B1027" t="s">
        <v>318</v>
      </c>
      <c r="C1027">
        <v>7.69</v>
      </c>
    </row>
    <row r="1028" spans="1:3">
      <c r="A1028">
        <v>3317</v>
      </c>
      <c r="B1028" t="s">
        <v>1507</v>
      </c>
      <c r="C1028">
        <v>11.15</v>
      </c>
    </row>
    <row r="1029" spans="1:3">
      <c r="A1029">
        <v>3322</v>
      </c>
      <c r="B1029" t="s">
        <v>1508</v>
      </c>
      <c r="C1029">
        <v>10.9</v>
      </c>
    </row>
    <row r="1030" spans="1:3">
      <c r="A1030">
        <v>3323</v>
      </c>
      <c r="B1030" t="s">
        <v>319</v>
      </c>
      <c r="C1030">
        <v>18.149999999999999</v>
      </c>
    </row>
    <row r="1031" spans="1:3">
      <c r="A1031">
        <v>3324</v>
      </c>
      <c r="B1031" t="s">
        <v>1509</v>
      </c>
      <c r="C1031">
        <v>27.15</v>
      </c>
    </row>
    <row r="1032" spans="1:3">
      <c r="A1032">
        <v>3325</v>
      </c>
      <c r="B1032" t="s">
        <v>1510</v>
      </c>
      <c r="C1032">
        <v>14.3</v>
      </c>
    </row>
    <row r="1033" spans="1:3">
      <c r="A1033">
        <v>3332</v>
      </c>
      <c r="B1033" t="s">
        <v>320</v>
      </c>
      <c r="C1033">
        <v>0</v>
      </c>
    </row>
    <row r="1034" spans="1:3">
      <c r="A1034">
        <v>3339</v>
      </c>
      <c r="B1034" t="s">
        <v>1511</v>
      </c>
      <c r="C1034">
        <v>4.01</v>
      </c>
    </row>
    <row r="1035" spans="1:3">
      <c r="A1035">
        <v>3354</v>
      </c>
      <c r="B1035" t="s">
        <v>1512</v>
      </c>
      <c r="C1035">
        <v>7.96</v>
      </c>
    </row>
    <row r="1036" spans="1:3">
      <c r="A1036">
        <v>3360</v>
      </c>
      <c r="B1036" t="s">
        <v>321</v>
      </c>
      <c r="C1036">
        <v>12.15</v>
      </c>
    </row>
    <row r="1037" spans="1:3">
      <c r="A1037">
        <v>3362</v>
      </c>
      <c r="B1037" t="s">
        <v>1513</v>
      </c>
      <c r="C1037">
        <v>14.6</v>
      </c>
    </row>
    <row r="1038" spans="1:3">
      <c r="A1038">
        <v>3363</v>
      </c>
      <c r="B1038" t="s">
        <v>322</v>
      </c>
      <c r="C1038">
        <v>24.5</v>
      </c>
    </row>
    <row r="1039" spans="1:3">
      <c r="A1039">
        <v>3372</v>
      </c>
      <c r="B1039" t="s">
        <v>323</v>
      </c>
      <c r="C1039">
        <v>7.79</v>
      </c>
    </row>
    <row r="1040" spans="1:3">
      <c r="A1040">
        <v>3373</v>
      </c>
      <c r="B1040" t="s">
        <v>324</v>
      </c>
      <c r="C1040">
        <v>27.8</v>
      </c>
    </row>
    <row r="1041" spans="1:3">
      <c r="A1041">
        <v>3374</v>
      </c>
      <c r="B1041" t="s">
        <v>325</v>
      </c>
      <c r="C1041">
        <v>38.6</v>
      </c>
    </row>
    <row r="1042" spans="1:3">
      <c r="A1042">
        <v>3379</v>
      </c>
      <c r="B1042" t="s">
        <v>1514</v>
      </c>
      <c r="C1042">
        <v>15.15</v>
      </c>
    </row>
    <row r="1043" spans="1:3">
      <c r="A1043">
        <v>3388</v>
      </c>
      <c r="B1043" t="s">
        <v>326</v>
      </c>
      <c r="C1043">
        <v>61.6</v>
      </c>
    </row>
    <row r="1044" spans="1:3">
      <c r="A1044">
        <v>3390</v>
      </c>
      <c r="B1044" t="s">
        <v>1515</v>
      </c>
      <c r="C1044">
        <v>15.45</v>
      </c>
    </row>
    <row r="1045" spans="1:3">
      <c r="A1045">
        <v>3402</v>
      </c>
      <c r="B1045" t="s">
        <v>1516</v>
      </c>
      <c r="C1045">
        <v>13.85</v>
      </c>
    </row>
    <row r="1046" spans="1:3">
      <c r="A1046">
        <v>3428</v>
      </c>
      <c r="B1046" t="s">
        <v>327</v>
      </c>
      <c r="C1046">
        <v>44</v>
      </c>
    </row>
    <row r="1047" spans="1:3">
      <c r="A1047">
        <v>3431</v>
      </c>
      <c r="B1047" t="s">
        <v>1517</v>
      </c>
      <c r="C1047">
        <v>8.75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1518</v>
      </c>
      <c r="C1049">
        <v>18</v>
      </c>
    </row>
    <row r="1050" spans="1:3">
      <c r="A1050">
        <v>3441</v>
      </c>
      <c r="B1050" t="s">
        <v>1519</v>
      </c>
      <c r="C1050">
        <v>12.4</v>
      </c>
    </row>
    <row r="1051" spans="1:3">
      <c r="A1051">
        <v>3444</v>
      </c>
      <c r="B1051" t="s">
        <v>1520</v>
      </c>
      <c r="C1051">
        <v>0</v>
      </c>
    </row>
    <row r="1052" spans="1:3">
      <c r="A1052">
        <v>3452</v>
      </c>
      <c r="B1052" t="s">
        <v>1521</v>
      </c>
      <c r="C1052">
        <v>12.3</v>
      </c>
    </row>
    <row r="1053" spans="1:3">
      <c r="A1053">
        <v>3455</v>
      </c>
      <c r="B1053" t="s">
        <v>329</v>
      </c>
      <c r="C1053">
        <v>28.5</v>
      </c>
    </row>
    <row r="1054" spans="1:3">
      <c r="A1054">
        <v>3465</v>
      </c>
      <c r="B1054" t="s">
        <v>1522</v>
      </c>
      <c r="C1054">
        <v>10</v>
      </c>
    </row>
    <row r="1055" spans="1:3">
      <c r="A1055">
        <v>3466</v>
      </c>
      <c r="B1055" t="s">
        <v>330</v>
      </c>
      <c r="C1055">
        <v>0</v>
      </c>
    </row>
    <row r="1056" spans="1:3">
      <c r="A1056">
        <v>3479</v>
      </c>
      <c r="B1056" t="s">
        <v>1523</v>
      </c>
      <c r="C1056">
        <v>72.400000000000006</v>
      </c>
    </row>
    <row r="1057" spans="1:3">
      <c r="A1057">
        <v>3483</v>
      </c>
      <c r="B1057" t="s">
        <v>331</v>
      </c>
      <c r="C1057">
        <v>11.95</v>
      </c>
    </row>
    <row r="1058" spans="1:3">
      <c r="A1058">
        <v>3484</v>
      </c>
      <c r="B1058" t="s">
        <v>332</v>
      </c>
      <c r="C1058">
        <v>35.25</v>
      </c>
    </row>
    <row r="1059" spans="1:3">
      <c r="A1059">
        <v>3489</v>
      </c>
      <c r="B1059" t="s">
        <v>333</v>
      </c>
      <c r="C1059">
        <v>9.9499999999999993</v>
      </c>
    </row>
    <row r="1060" spans="1:3">
      <c r="A1060">
        <v>3490</v>
      </c>
      <c r="B1060" t="s">
        <v>334</v>
      </c>
      <c r="C1060">
        <v>80.2</v>
      </c>
    </row>
    <row r="1061" spans="1:3">
      <c r="A1061">
        <v>3491</v>
      </c>
      <c r="B1061" t="s">
        <v>1524</v>
      </c>
      <c r="C1061">
        <v>75.2</v>
      </c>
    </row>
    <row r="1062" spans="1:3">
      <c r="A1062">
        <v>3492</v>
      </c>
      <c r="B1062" t="s">
        <v>1525</v>
      </c>
      <c r="C1062">
        <v>36.9</v>
      </c>
    </row>
    <row r="1063" spans="1:3">
      <c r="A1063">
        <v>3498</v>
      </c>
      <c r="B1063" t="s">
        <v>1526</v>
      </c>
      <c r="C1063">
        <v>72.2</v>
      </c>
    </row>
    <row r="1064" spans="1:3">
      <c r="A1064">
        <v>3499</v>
      </c>
      <c r="B1064" t="s">
        <v>335</v>
      </c>
      <c r="C1064">
        <v>24.8</v>
      </c>
    </row>
    <row r="1065" spans="1:3">
      <c r="A1065">
        <v>3508</v>
      </c>
      <c r="B1065" t="s">
        <v>336</v>
      </c>
      <c r="C1065">
        <v>15.5</v>
      </c>
    </row>
    <row r="1066" spans="1:3">
      <c r="A1066">
        <v>3511</v>
      </c>
      <c r="B1066" t="s">
        <v>1527</v>
      </c>
      <c r="C1066">
        <v>33.700000000000003</v>
      </c>
    </row>
    <row r="1067" spans="1:3">
      <c r="A1067">
        <v>3512</v>
      </c>
      <c r="B1067" t="s">
        <v>1528</v>
      </c>
      <c r="C1067">
        <v>30.7</v>
      </c>
    </row>
    <row r="1068" spans="1:3">
      <c r="A1068">
        <v>3516</v>
      </c>
      <c r="B1068" t="s">
        <v>337</v>
      </c>
      <c r="C1068">
        <v>9.1300000000000008</v>
      </c>
    </row>
    <row r="1069" spans="1:3">
      <c r="A1069">
        <v>3520</v>
      </c>
      <c r="B1069" t="s">
        <v>1529</v>
      </c>
      <c r="C1069">
        <v>89.4</v>
      </c>
    </row>
    <row r="1070" spans="1:3">
      <c r="A1070">
        <v>3521</v>
      </c>
      <c r="B1070" t="s">
        <v>1530</v>
      </c>
      <c r="C1070">
        <v>15.5</v>
      </c>
    </row>
    <row r="1071" spans="1:3">
      <c r="A1071">
        <v>3522</v>
      </c>
      <c r="B1071" t="s">
        <v>338</v>
      </c>
      <c r="C1071">
        <v>10.25</v>
      </c>
    </row>
    <row r="1072" spans="1:3">
      <c r="A1072">
        <v>3523</v>
      </c>
      <c r="B1072" t="s">
        <v>1531</v>
      </c>
      <c r="C1072">
        <v>23.1</v>
      </c>
    </row>
    <row r="1073" spans="1:3">
      <c r="A1073">
        <v>3526</v>
      </c>
      <c r="B1073" t="s">
        <v>1532</v>
      </c>
      <c r="C1073">
        <v>21.55</v>
      </c>
    </row>
    <row r="1074" spans="1:3">
      <c r="A1074">
        <v>3527</v>
      </c>
      <c r="B1074" t="s">
        <v>339</v>
      </c>
      <c r="C1074">
        <v>44</v>
      </c>
    </row>
    <row r="1075" spans="1:3">
      <c r="A1075">
        <v>3528</v>
      </c>
      <c r="B1075" t="s">
        <v>1533</v>
      </c>
      <c r="C1075">
        <v>31.35</v>
      </c>
    </row>
    <row r="1076" spans="1:3">
      <c r="A1076">
        <v>3529</v>
      </c>
      <c r="B1076" t="s">
        <v>340</v>
      </c>
      <c r="C1076">
        <v>327.5</v>
      </c>
    </row>
    <row r="1077" spans="1:3">
      <c r="A1077">
        <v>3531</v>
      </c>
      <c r="B1077" t="s">
        <v>1534</v>
      </c>
      <c r="C1077">
        <v>14.8</v>
      </c>
    </row>
    <row r="1078" spans="1:3">
      <c r="A1078">
        <v>3537</v>
      </c>
      <c r="B1078" t="s">
        <v>341</v>
      </c>
      <c r="C1078">
        <v>20.350000000000001</v>
      </c>
    </row>
    <row r="1079" spans="1:3">
      <c r="A1079">
        <v>3540</v>
      </c>
      <c r="B1079" t="s">
        <v>1535</v>
      </c>
      <c r="C1079">
        <v>12.5</v>
      </c>
    </row>
    <row r="1080" spans="1:3">
      <c r="A1080">
        <v>3541</v>
      </c>
      <c r="B1080" t="s">
        <v>1536</v>
      </c>
      <c r="C1080">
        <v>73</v>
      </c>
    </row>
    <row r="1081" spans="1:3">
      <c r="A1081">
        <v>3546</v>
      </c>
      <c r="B1081" t="s">
        <v>1537</v>
      </c>
      <c r="C1081">
        <v>31.2</v>
      </c>
    </row>
    <row r="1082" spans="1:3">
      <c r="A1082">
        <v>3548</v>
      </c>
      <c r="B1082" t="s">
        <v>342</v>
      </c>
      <c r="C1082">
        <v>37.9</v>
      </c>
    </row>
    <row r="1083" spans="1:3">
      <c r="A1083">
        <v>3551</v>
      </c>
      <c r="B1083" t="s">
        <v>343</v>
      </c>
      <c r="C1083">
        <v>34.4</v>
      </c>
    </row>
    <row r="1084" spans="1:3">
      <c r="A1084">
        <v>3552</v>
      </c>
      <c r="B1084" t="s">
        <v>1538</v>
      </c>
      <c r="C1084">
        <v>285</v>
      </c>
    </row>
    <row r="1085" spans="1:3">
      <c r="A1085">
        <v>3553</v>
      </c>
      <c r="B1085" t="s">
        <v>344</v>
      </c>
      <c r="C1085">
        <v>13.7</v>
      </c>
    </row>
    <row r="1086" spans="1:3">
      <c r="A1086">
        <v>3555</v>
      </c>
      <c r="B1086" t="s">
        <v>1539</v>
      </c>
      <c r="C1086">
        <v>8.7100000000000009</v>
      </c>
    </row>
    <row r="1087" spans="1:3">
      <c r="A1087">
        <v>3556</v>
      </c>
      <c r="B1087" t="s">
        <v>345</v>
      </c>
      <c r="C1087">
        <v>55.6</v>
      </c>
    </row>
    <row r="1088" spans="1:3">
      <c r="A1088">
        <v>3558</v>
      </c>
      <c r="B1088" t="s">
        <v>346</v>
      </c>
      <c r="C1088">
        <v>250.5</v>
      </c>
    </row>
    <row r="1089" spans="1:3">
      <c r="A1089">
        <v>3562</v>
      </c>
      <c r="B1089" t="s">
        <v>347</v>
      </c>
      <c r="C1089">
        <v>3.74</v>
      </c>
    </row>
    <row r="1090" spans="1:3">
      <c r="A1090">
        <v>3563</v>
      </c>
      <c r="B1090" t="s">
        <v>348</v>
      </c>
      <c r="C1090">
        <v>43.5</v>
      </c>
    </row>
    <row r="1091" spans="1:3">
      <c r="A1091">
        <v>3564</v>
      </c>
      <c r="B1091" t="s">
        <v>1540</v>
      </c>
      <c r="C1091">
        <v>68.599999999999994</v>
      </c>
    </row>
    <row r="1092" spans="1:3">
      <c r="A1092">
        <v>3567</v>
      </c>
      <c r="B1092" t="s">
        <v>1541</v>
      </c>
      <c r="C1092">
        <v>12.05</v>
      </c>
    </row>
    <row r="1093" spans="1:3">
      <c r="A1093">
        <v>3570</v>
      </c>
      <c r="B1093" t="s">
        <v>1542</v>
      </c>
      <c r="C1093">
        <v>75</v>
      </c>
    </row>
    <row r="1094" spans="1:3">
      <c r="A1094">
        <v>3577</v>
      </c>
      <c r="B1094" t="s">
        <v>1543</v>
      </c>
      <c r="C1094">
        <v>31.5</v>
      </c>
    </row>
    <row r="1095" spans="1:3">
      <c r="A1095">
        <v>3580</v>
      </c>
      <c r="B1095" t="s">
        <v>1544</v>
      </c>
      <c r="C1095">
        <v>6.03</v>
      </c>
    </row>
    <row r="1096" spans="1:3">
      <c r="A1096">
        <v>3581</v>
      </c>
      <c r="B1096" t="s">
        <v>1545</v>
      </c>
      <c r="C1096">
        <v>14.6</v>
      </c>
    </row>
    <row r="1097" spans="1:3">
      <c r="A1097">
        <v>3587</v>
      </c>
      <c r="B1097" t="s">
        <v>1546</v>
      </c>
      <c r="C1097">
        <v>56.4</v>
      </c>
    </row>
    <row r="1098" spans="1:3">
      <c r="A1098">
        <v>3594</v>
      </c>
      <c r="B1098" t="s">
        <v>349</v>
      </c>
      <c r="C1098">
        <v>29.45</v>
      </c>
    </row>
    <row r="1099" spans="1:3">
      <c r="A1099">
        <v>3609</v>
      </c>
      <c r="B1099" t="s">
        <v>350</v>
      </c>
      <c r="C1099">
        <v>12.9</v>
      </c>
    </row>
    <row r="1100" spans="1:3">
      <c r="A1100">
        <v>3611</v>
      </c>
      <c r="B1100" t="s">
        <v>351</v>
      </c>
      <c r="C1100">
        <v>314</v>
      </c>
    </row>
    <row r="1101" spans="1:3">
      <c r="A1101">
        <v>3615</v>
      </c>
      <c r="B1101" t="s">
        <v>1547</v>
      </c>
      <c r="C1101">
        <v>18.8</v>
      </c>
    </row>
    <row r="1102" spans="1:3">
      <c r="A1102">
        <v>3623</v>
      </c>
      <c r="B1102" t="s">
        <v>352</v>
      </c>
      <c r="C1102">
        <v>36.65</v>
      </c>
    </row>
    <row r="1103" spans="1:3">
      <c r="A1103">
        <v>3624</v>
      </c>
      <c r="B1103" t="s">
        <v>353</v>
      </c>
      <c r="C1103">
        <v>24.65</v>
      </c>
    </row>
    <row r="1104" spans="1:3">
      <c r="A1104">
        <v>3625</v>
      </c>
      <c r="B1104" t="s">
        <v>354</v>
      </c>
      <c r="C1104">
        <v>9.67</v>
      </c>
    </row>
    <row r="1105" spans="1:3">
      <c r="A1105">
        <v>3628</v>
      </c>
      <c r="B1105" t="s">
        <v>1548</v>
      </c>
      <c r="C1105">
        <v>49.95</v>
      </c>
    </row>
    <row r="1106" spans="1:3">
      <c r="A1106">
        <v>3630</v>
      </c>
      <c r="B1106" t="s">
        <v>355</v>
      </c>
      <c r="C1106">
        <v>17.8</v>
      </c>
    </row>
    <row r="1107" spans="1:3">
      <c r="A1107">
        <v>3631</v>
      </c>
      <c r="B1107" t="s">
        <v>356</v>
      </c>
      <c r="C1107">
        <v>24.25</v>
      </c>
    </row>
    <row r="1108" spans="1:3">
      <c r="A1108">
        <v>3632</v>
      </c>
      <c r="B1108" t="s">
        <v>1550</v>
      </c>
      <c r="C1108">
        <v>26.8</v>
      </c>
    </row>
    <row r="1109" spans="1:3">
      <c r="A1109">
        <v>3642</v>
      </c>
      <c r="B1109" t="s">
        <v>1551</v>
      </c>
      <c r="C1109">
        <v>23.3</v>
      </c>
    </row>
    <row r="1110" spans="1:3">
      <c r="A1110">
        <v>3646</v>
      </c>
      <c r="B1110" t="s">
        <v>1552</v>
      </c>
      <c r="C1110">
        <v>13</v>
      </c>
    </row>
    <row r="1111" spans="1:3">
      <c r="A1111">
        <v>3652</v>
      </c>
      <c r="B1111" t="s">
        <v>357</v>
      </c>
      <c r="C1111">
        <v>17.5</v>
      </c>
    </row>
    <row r="1112" spans="1:3">
      <c r="A1112">
        <v>3658</v>
      </c>
      <c r="B1112" t="s">
        <v>358</v>
      </c>
      <c r="C1112">
        <v>1320</v>
      </c>
    </row>
    <row r="1113" spans="1:3">
      <c r="A1113">
        <v>3662</v>
      </c>
      <c r="B1113" t="s">
        <v>1553</v>
      </c>
      <c r="C1113">
        <v>97.3</v>
      </c>
    </row>
    <row r="1114" spans="1:3">
      <c r="A1114">
        <v>3663</v>
      </c>
      <c r="B1114" t="s">
        <v>1554</v>
      </c>
      <c r="C1114">
        <v>15.9</v>
      </c>
    </row>
    <row r="1115" spans="1:3">
      <c r="A1115">
        <v>3664</v>
      </c>
      <c r="B1115" t="s">
        <v>1555</v>
      </c>
      <c r="C1115">
        <v>15.15</v>
      </c>
    </row>
    <row r="1116" spans="1:3">
      <c r="A1116">
        <v>3666</v>
      </c>
      <c r="B1116" t="s">
        <v>359</v>
      </c>
      <c r="C1116">
        <v>21.5</v>
      </c>
    </row>
    <row r="1117" spans="1:3">
      <c r="A1117">
        <v>3672</v>
      </c>
      <c r="B1117" t="s">
        <v>360</v>
      </c>
      <c r="C1117">
        <v>43</v>
      </c>
    </row>
    <row r="1118" spans="1:3">
      <c r="A1118">
        <v>3675</v>
      </c>
      <c r="B1118" t="s">
        <v>1556</v>
      </c>
      <c r="C1118">
        <v>23</v>
      </c>
    </row>
    <row r="1119" spans="1:3">
      <c r="A1119">
        <v>3680</v>
      </c>
      <c r="B1119" t="s">
        <v>1557</v>
      </c>
      <c r="C1119">
        <v>29.9</v>
      </c>
    </row>
    <row r="1120" spans="1:3">
      <c r="A1120">
        <v>3684</v>
      </c>
      <c r="B1120" t="s">
        <v>1558</v>
      </c>
      <c r="C1120">
        <v>64.2</v>
      </c>
    </row>
    <row r="1121" spans="1:3">
      <c r="A1121">
        <v>3685</v>
      </c>
      <c r="B1121" t="s">
        <v>1559</v>
      </c>
      <c r="C1121">
        <v>41.5</v>
      </c>
    </row>
    <row r="1122" spans="1:3">
      <c r="A1122">
        <v>3687</v>
      </c>
      <c r="B1122" t="s">
        <v>361</v>
      </c>
      <c r="C1122">
        <v>66.599999999999994</v>
      </c>
    </row>
    <row r="1123" spans="1:3">
      <c r="A1123">
        <v>3689</v>
      </c>
      <c r="B1123" t="s">
        <v>1560</v>
      </c>
      <c r="C1123">
        <v>35.1</v>
      </c>
    </row>
    <row r="1124" spans="1:3">
      <c r="A1124">
        <v>3691</v>
      </c>
      <c r="B1124" t="s">
        <v>1561</v>
      </c>
      <c r="C1124">
        <v>661</v>
      </c>
    </row>
    <row r="1125" spans="1:3">
      <c r="A1125">
        <v>3693</v>
      </c>
      <c r="B1125" t="s">
        <v>362</v>
      </c>
      <c r="C1125">
        <v>130</v>
      </c>
    </row>
    <row r="1126" spans="1:3">
      <c r="A1126">
        <v>3707</v>
      </c>
      <c r="B1126" t="s">
        <v>363</v>
      </c>
      <c r="C1126">
        <v>8.2899999999999991</v>
      </c>
    </row>
    <row r="1127" spans="1:3">
      <c r="A1127">
        <v>4102</v>
      </c>
      <c r="B1127" t="s">
        <v>1562</v>
      </c>
      <c r="C1127">
        <v>28</v>
      </c>
    </row>
    <row r="1128" spans="1:3">
      <c r="A1128">
        <v>4103</v>
      </c>
      <c r="B1128" t="s">
        <v>1563</v>
      </c>
      <c r="C1128">
        <v>91</v>
      </c>
    </row>
    <row r="1129" spans="1:3">
      <c r="A1129">
        <v>4105</v>
      </c>
      <c r="B1129" t="s">
        <v>1564</v>
      </c>
      <c r="C1129">
        <v>99</v>
      </c>
    </row>
    <row r="1130" spans="1:3">
      <c r="A1130">
        <v>4107</v>
      </c>
      <c r="B1130" t="s">
        <v>1565</v>
      </c>
      <c r="C1130">
        <v>143</v>
      </c>
    </row>
    <row r="1131" spans="1:3">
      <c r="A1131">
        <v>4109</v>
      </c>
      <c r="B1131" t="s">
        <v>1566</v>
      </c>
      <c r="C1131">
        <v>25.45</v>
      </c>
    </row>
    <row r="1132" spans="1:3">
      <c r="A1132">
        <v>4111</v>
      </c>
      <c r="B1132" t="s">
        <v>1567</v>
      </c>
      <c r="C1132">
        <v>28.6</v>
      </c>
    </row>
    <row r="1133" spans="1:3">
      <c r="A1133">
        <v>4113</v>
      </c>
      <c r="B1133" t="s">
        <v>364</v>
      </c>
      <c r="C1133">
        <v>10.65</v>
      </c>
    </row>
    <row r="1134" spans="1:3">
      <c r="A1134">
        <v>4114</v>
      </c>
      <c r="B1134" t="s">
        <v>1568</v>
      </c>
      <c r="C1134">
        <v>35.049999999999997</v>
      </c>
    </row>
    <row r="1135" spans="1:3">
      <c r="A1135">
        <v>4120</v>
      </c>
      <c r="B1135" t="s">
        <v>365</v>
      </c>
      <c r="C1135">
        <v>60</v>
      </c>
    </row>
    <row r="1136" spans="1:3">
      <c r="A1136">
        <v>4121</v>
      </c>
      <c r="B1136" t="s">
        <v>1569</v>
      </c>
      <c r="C1136">
        <v>17.149999999999999</v>
      </c>
    </row>
    <row r="1137" spans="1:3">
      <c r="A1137">
        <v>4123</v>
      </c>
      <c r="B1137" t="s">
        <v>1570</v>
      </c>
      <c r="C1137">
        <v>71.7</v>
      </c>
    </row>
    <row r="1138" spans="1:3">
      <c r="A1138">
        <v>4126</v>
      </c>
      <c r="B1138" t="s">
        <v>366</v>
      </c>
      <c r="C1138">
        <v>78.5</v>
      </c>
    </row>
    <row r="1139" spans="1:3">
      <c r="A1139">
        <v>4127</v>
      </c>
      <c r="B1139" t="s">
        <v>1571</v>
      </c>
      <c r="C1139">
        <v>25</v>
      </c>
    </row>
    <row r="1140" spans="1:3">
      <c r="A1140">
        <v>4128</v>
      </c>
      <c r="B1140" t="s">
        <v>1572</v>
      </c>
      <c r="C1140">
        <v>27.25</v>
      </c>
    </row>
    <row r="1141" spans="1:3">
      <c r="A1141">
        <v>4129</v>
      </c>
      <c r="B1141" t="s">
        <v>1573</v>
      </c>
      <c r="C1141">
        <v>78.8</v>
      </c>
    </row>
    <row r="1142" spans="1:3">
      <c r="A1142">
        <v>4130</v>
      </c>
      <c r="B1142" t="s">
        <v>367</v>
      </c>
      <c r="C1142">
        <v>46.8</v>
      </c>
    </row>
    <row r="1143" spans="1:3">
      <c r="A1143">
        <v>4131</v>
      </c>
      <c r="B1143" t="s">
        <v>1574</v>
      </c>
      <c r="C1143">
        <v>11.1</v>
      </c>
    </row>
    <row r="1144" spans="1:3">
      <c r="A1144">
        <v>4138</v>
      </c>
      <c r="B1144" t="s">
        <v>1575</v>
      </c>
      <c r="C1144">
        <v>69.2</v>
      </c>
    </row>
    <row r="1145" spans="1:3">
      <c r="A1145">
        <v>4139</v>
      </c>
      <c r="B1145" t="s">
        <v>1576</v>
      </c>
      <c r="C1145">
        <v>73.5</v>
      </c>
    </row>
    <row r="1146" spans="1:3">
      <c r="A1146">
        <v>4147</v>
      </c>
      <c r="B1146" t="s">
        <v>2373</v>
      </c>
      <c r="C1146">
        <v>170</v>
      </c>
    </row>
    <row r="1147" spans="1:3">
      <c r="A1147">
        <v>4152</v>
      </c>
      <c r="B1147" t="s">
        <v>368</v>
      </c>
      <c r="C1147">
        <v>160</v>
      </c>
    </row>
    <row r="1148" spans="1:3">
      <c r="A1148">
        <v>4153</v>
      </c>
      <c r="B1148" t="s">
        <v>369</v>
      </c>
      <c r="C1148">
        <v>79.900000000000006</v>
      </c>
    </row>
    <row r="1149" spans="1:3">
      <c r="A1149">
        <v>4154</v>
      </c>
      <c r="B1149" t="s">
        <v>1577</v>
      </c>
      <c r="C1149">
        <v>22.75</v>
      </c>
    </row>
    <row r="1150" spans="1:3">
      <c r="A1150">
        <v>4157</v>
      </c>
      <c r="B1150" t="s">
        <v>1578</v>
      </c>
      <c r="C1150">
        <v>30.25</v>
      </c>
    </row>
    <row r="1151" spans="1:3">
      <c r="A1151">
        <v>4160</v>
      </c>
      <c r="B1151" t="s">
        <v>1579</v>
      </c>
      <c r="C1151">
        <v>35.65</v>
      </c>
    </row>
    <row r="1152" spans="1:3">
      <c r="A1152">
        <v>4161</v>
      </c>
      <c r="B1152" t="s">
        <v>1580</v>
      </c>
      <c r="C1152">
        <v>70.5</v>
      </c>
    </row>
    <row r="1153" spans="1:3">
      <c r="A1153">
        <v>4162</v>
      </c>
      <c r="B1153" t="s">
        <v>370</v>
      </c>
      <c r="C1153">
        <v>238</v>
      </c>
    </row>
    <row r="1154" spans="1:3">
      <c r="A1154">
        <v>4163</v>
      </c>
      <c r="B1154" t="s">
        <v>1581</v>
      </c>
      <c r="C1154">
        <v>135.5</v>
      </c>
    </row>
    <row r="1155" spans="1:3">
      <c r="A1155">
        <v>4167</v>
      </c>
      <c r="B1155" t="s">
        <v>371</v>
      </c>
      <c r="C1155">
        <v>32</v>
      </c>
    </row>
    <row r="1156" spans="1:3">
      <c r="A1156">
        <v>4168</v>
      </c>
      <c r="B1156" t="s">
        <v>372</v>
      </c>
      <c r="C1156">
        <v>52</v>
      </c>
    </row>
    <row r="1157" spans="1:3">
      <c r="A1157">
        <v>4171</v>
      </c>
      <c r="B1157" t="s">
        <v>1582</v>
      </c>
      <c r="C1157">
        <v>39.700000000000003</v>
      </c>
    </row>
    <row r="1158" spans="1:3">
      <c r="A1158">
        <v>4173</v>
      </c>
      <c r="B1158" t="s">
        <v>373</v>
      </c>
      <c r="C1158">
        <v>29.6</v>
      </c>
    </row>
    <row r="1159" spans="1:3">
      <c r="A1159">
        <v>4174</v>
      </c>
      <c r="B1159" t="s">
        <v>374</v>
      </c>
      <c r="C1159">
        <v>551</v>
      </c>
    </row>
    <row r="1160" spans="1:3">
      <c r="A1160">
        <v>4175</v>
      </c>
      <c r="B1160" t="s">
        <v>375</v>
      </c>
      <c r="C1160">
        <v>79.599999999999994</v>
      </c>
    </row>
    <row r="1161" spans="1:3">
      <c r="A1161">
        <v>4180</v>
      </c>
      <c r="B1161" t="s">
        <v>1583</v>
      </c>
      <c r="C1161">
        <v>167.5</v>
      </c>
    </row>
    <row r="1162" spans="1:3">
      <c r="A1162">
        <v>4188</v>
      </c>
      <c r="B1162" t="s">
        <v>1584</v>
      </c>
      <c r="C1162">
        <v>33.200000000000003</v>
      </c>
    </row>
    <row r="1163" spans="1:3">
      <c r="A1163">
        <v>4192</v>
      </c>
      <c r="B1163" t="s">
        <v>1585</v>
      </c>
      <c r="C1163">
        <v>47.65</v>
      </c>
    </row>
    <row r="1164" spans="1:3">
      <c r="A1164">
        <v>4198</v>
      </c>
      <c r="B1164" t="s">
        <v>376</v>
      </c>
      <c r="C1164">
        <v>41.5</v>
      </c>
    </row>
    <row r="1165" spans="1:3">
      <c r="A1165">
        <v>4205</v>
      </c>
      <c r="B1165" t="s">
        <v>1586</v>
      </c>
      <c r="C1165">
        <v>38.799999999999997</v>
      </c>
    </row>
    <row r="1166" spans="1:3">
      <c r="A1166">
        <v>4207</v>
      </c>
      <c r="B1166" t="s">
        <v>1587</v>
      </c>
      <c r="C1166">
        <v>9.9499999999999993</v>
      </c>
    </row>
    <row r="1167" spans="1:3">
      <c r="A1167">
        <v>4303</v>
      </c>
      <c r="B1167" t="s">
        <v>1588</v>
      </c>
      <c r="C1167">
        <v>12.9</v>
      </c>
    </row>
    <row r="1168" spans="1:3">
      <c r="A1168">
        <v>4304</v>
      </c>
      <c r="B1168" t="s">
        <v>377</v>
      </c>
      <c r="C1168">
        <v>11.8</v>
      </c>
    </row>
    <row r="1169" spans="1:3">
      <c r="A1169">
        <v>4305</v>
      </c>
      <c r="B1169" t="s">
        <v>1589</v>
      </c>
      <c r="C1169">
        <v>26.7</v>
      </c>
    </row>
    <row r="1170" spans="1:3">
      <c r="A1170">
        <v>4401</v>
      </c>
      <c r="B1170" t="s">
        <v>1590</v>
      </c>
      <c r="C1170">
        <v>98.8</v>
      </c>
    </row>
    <row r="1171" spans="1:3">
      <c r="A1171">
        <v>4402</v>
      </c>
      <c r="B1171" t="s">
        <v>378</v>
      </c>
      <c r="C1171">
        <v>5.84</v>
      </c>
    </row>
    <row r="1172" spans="1:3">
      <c r="A1172">
        <v>4406</v>
      </c>
      <c r="B1172" t="s">
        <v>1591</v>
      </c>
      <c r="C1172">
        <v>12.1</v>
      </c>
    </row>
    <row r="1173" spans="1:3">
      <c r="A1173">
        <v>4413</v>
      </c>
      <c r="B1173" t="s">
        <v>1592</v>
      </c>
      <c r="C1173">
        <v>0</v>
      </c>
    </row>
    <row r="1174" spans="1:3">
      <c r="A1174">
        <v>4415</v>
      </c>
      <c r="B1174" t="s">
        <v>1593</v>
      </c>
      <c r="C1174">
        <v>21.8</v>
      </c>
    </row>
    <row r="1175" spans="1:3">
      <c r="A1175">
        <v>4416</v>
      </c>
      <c r="B1175" t="s">
        <v>379</v>
      </c>
      <c r="C1175">
        <v>0</v>
      </c>
    </row>
    <row r="1176" spans="1:3">
      <c r="A1176">
        <v>4417</v>
      </c>
      <c r="B1176" t="s">
        <v>1594</v>
      </c>
      <c r="C1176">
        <v>38.35</v>
      </c>
    </row>
    <row r="1177" spans="1:3">
      <c r="A1177">
        <v>4419</v>
      </c>
      <c r="B1177" t="s">
        <v>1595</v>
      </c>
      <c r="C1177">
        <v>6.68</v>
      </c>
    </row>
    <row r="1178" spans="1:3">
      <c r="A1178">
        <v>4420</v>
      </c>
      <c r="B1178" t="s">
        <v>1596</v>
      </c>
      <c r="C1178">
        <v>48.7</v>
      </c>
    </row>
    <row r="1179" spans="1:3">
      <c r="A1179">
        <v>4429</v>
      </c>
      <c r="B1179" t="s">
        <v>380</v>
      </c>
      <c r="C1179">
        <v>23.4</v>
      </c>
    </row>
    <row r="1180" spans="1:3">
      <c r="A1180">
        <v>4430</v>
      </c>
      <c r="B1180" t="s">
        <v>1597</v>
      </c>
      <c r="C1180">
        <v>28.6</v>
      </c>
    </row>
    <row r="1181" spans="1:3">
      <c r="A1181">
        <v>4432</v>
      </c>
      <c r="B1181" t="s">
        <v>1598</v>
      </c>
      <c r="C1181">
        <v>81.7</v>
      </c>
    </row>
    <row r="1182" spans="1:3">
      <c r="A1182">
        <v>4433</v>
      </c>
      <c r="B1182" t="s">
        <v>1599</v>
      </c>
      <c r="C1182">
        <v>38.6</v>
      </c>
    </row>
    <row r="1183" spans="1:3">
      <c r="A1183">
        <v>4502</v>
      </c>
      <c r="B1183" t="s">
        <v>2374</v>
      </c>
      <c r="C1183">
        <v>24.65</v>
      </c>
    </row>
    <row r="1184" spans="1:3">
      <c r="A1184">
        <v>4503</v>
      </c>
      <c r="B1184" t="s">
        <v>381</v>
      </c>
      <c r="C1184">
        <v>12.6</v>
      </c>
    </row>
    <row r="1185" spans="1:3">
      <c r="A1185">
        <v>4506</v>
      </c>
      <c r="B1185" t="s">
        <v>382</v>
      </c>
      <c r="C1185">
        <v>28.4</v>
      </c>
    </row>
    <row r="1186" spans="1:3">
      <c r="A1186">
        <v>4510</v>
      </c>
      <c r="B1186" t="s">
        <v>1601</v>
      </c>
      <c r="C1186">
        <v>17.5</v>
      </c>
    </row>
    <row r="1187" spans="1:3">
      <c r="A1187">
        <v>4513</v>
      </c>
      <c r="B1187" t="s">
        <v>1602</v>
      </c>
      <c r="C1187">
        <v>11</v>
      </c>
    </row>
    <row r="1188" spans="1:3">
      <c r="A1188">
        <v>4523</v>
      </c>
      <c r="B1188" t="s">
        <v>1603</v>
      </c>
      <c r="C1188">
        <v>18.149999999999999</v>
      </c>
    </row>
    <row r="1189" spans="1:3">
      <c r="A1189">
        <v>4527</v>
      </c>
      <c r="B1189" t="s">
        <v>1604</v>
      </c>
      <c r="C1189">
        <v>22.55</v>
      </c>
    </row>
    <row r="1190" spans="1:3">
      <c r="A1190">
        <v>4528</v>
      </c>
      <c r="B1190" t="s">
        <v>1605</v>
      </c>
      <c r="C1190">
        <v>65.3</v>
      </c>
    </row>
    <row r="1191" spans="1:3">
      <c r="A1191">
        <v>4529</v>
      </c>
      <c r="B1191" t="s">
        <v>1606</v>
      </c>
      <c r="C1191">
        <v>55.6</v>
      </c>
    </row>
    <row r="1192" spans="1:3">
      <c r="A1192">
        <v>4530</v>
      </c>
      <c r="B1192" t="s">
        <v>1607</v>
      </c>
      <c r="C1192">
        <v>4.75</v>
      </c>
    </row>
    <row r="1193" spans="1:3">
      <c r="A1193">
        <v>4533</v>
      </c>
      <c r="B1193" t="s">
        <v>1608</v>
      </c>
      <c r="C1193">
        <v>11.7</v>
      </c>
    </row>
    <row r="1194" spans="1:3">
      <c r="A1194">
        <v>4534</v>
      </c>
      <c r="B1194" t="s">
        <v>1609</v>
      </c>
      <c r="C1194">
        <v>10.9</v>
      </c>
    </row>
    <row r="1195" spans="1:3">
      <c r="A1195">
        <v>4535</v>
      </c>
      <c r="B1195" t="s">
        <v>1610</v>
      </c>
      <c r="C1195">
        <v>45.5</v>
      </c>
    </row>
    <row r="1196" spans="1:3">
      <c r="A1196">
        <v>4541</v>
      </c>
      <c r="B1196" t="s">
        <v>1611</v>
      </c>
      <c r="C1196">
        <v>32.299999999999997</v>
      </c>
    </row>
    <row r="1197" spans="1:3">
      <c r="A1197">
        <v>4542</v>
      </c>
      <c r="B1197" t="s">
        <v>383</v>
      </c>
      <c r="C1197">
        <v>20.8</v>
      </c>
    </row>
    <row r="1198" spans="1:3">
      <c r="A1198">
        <v>4549</v>
      </c>
      <c r="B1198" t="s">
        <v>384</v>
      </c>
      <c r="C1198">
        <v>82.5</v>
      </c>
    </row>
    <row r="1199" spans="1:3">
      <c r="A1199">
        <v>4550</v>
      </c>
      <c r="B1199" t="s">
        <v>385</v>
      </c>
      <c r="C1199">
        <v>23.9</v>
      </c>
    </row>
    <row r="1200" spans="1:3">
      <c r="A1200">
        <v>4609</v>
      </c>
      <c r="B1200" t="s">
        <v>1612</v>
      </c>
      <c r="C1200">
        <v>9.6199999999999992</v>
      </c>
    </row>
    <row r="1201" spans="1:3">
      <c r="A1201">
        <v>4702</v>
      </c>
      <c r="B1201" t="s">
        <v>386</v>
      </c>
      <c r="C1201">
        <v>14.35</v>
      </c>
    </row>
    <row r="1202" spans="1:3">
      <c r="A1202">
        <v>4706</v>
      </c>
      <c r="B1202" t="s">
        <v>1613</v>
      </c>
      <c r="C1202">
        <v>15</v>
      </c>
    </row>
    <row r="1203" spans="1:3">
      <c r="A1203">
        <v>4707</v>
      </c>
      <c r="B1203" t="s">
        <v>387</v>
      </c>
      <c r="C1203">
        <v>8.74</v>
      </c>
    </row>
    <row r="1204" spans="1:3">
      <c r="A1204">
        <v>4711</v>
      </c>
      <c r="B1204" t="s">
        <v>1614</v>
      </c>
      <c r="C1204">
        <v>12.15</v>
      </c>
    </row>
    <row r="1205" spans="1:3">
      <c r="A1205">
        <v>4712</v>
      </c>
      <c r="B1205" t="s">
        <v>388</v>
      </c>
      <c r="C1205">
        <v>7.3</v>
      </c>
    </row>
    <row r="1206" spans="1:3">
      <c r="A1206">
        <v>4714</v>
      </c>
      <c r="B1206" t="s">
        <v>389</v>
      </c>
      <c r="C1206">
        <v>8.64</v>
      </c>
    </row>
    <row r="1207" spans="1:3">
      <c r="A1207">
        <v>4716</v>
      </c>
      <c r="B1207" t="s">
        <v>1615</v>
      </c>
      <c r="C1207">
        <v>10.35</v>
      </c>
    </row>
    <row r="1208" spans="1:3">
      <c r="A1208">
        <v>4721</v>
      </c>
      <c r="B1208" t="s">
        <v>390</v>
      </c>
      <c r="C1208">
        <v>28.9</v>
      </c>
    </row>
    <row r="1209" spans="1:3">
      <c r="A1209">
        <v>4726</v>
      </c>
      <c r="B1209" t="s">
        <v>1616</v>
      </c>
      <c r="C1209">
        <v>57.1</v>
      </c>
    </row>
    <row r="1210" spans="1:3">
      <c r="A1210">
        <v>4728</v>
      </c>
      <c r="B1210" t="s">
        <v>391</v>
      </c>
      <c r="C1210">
        <v>29.25</v>
      </c>
    </row>
    <row r="1211" spans="1:3">
      <c r="A1211">
        <v>4729</v>
      </c>
      <c r="B1211" t="s">
        <v>392</v>
      </c>
      <c r="C1211">
        <v>12.85</v>
      </c>
    </row>
    <row r="1212" spans="1:3">
      <c r="A1212">
        <v>4735</v>
      </c>
      <c r="B1212" t="s">
        <v>1617</v>
      </c>
      <c r="C1212">
        <v>29.95</v>
      </c>
    </row>
    <row r="1213" spans="1:3">
      <c r="A1213">
        <v>4736</v>
      </c>
      <c r="B1213" t="s">
        <v>393</v>
      </c>
      <c r="C1213">
        <v>109</v>
      </c>
    </row>
    <row r="1214" spans="1:3">
      <c r="A1214">
        <v>4739</v>
      </c>
      <c r="B1214" t="s">
        <v>1618</v>
      </c>
      <c r="C1214">
        <v>38.799999999999997</v>
      </c>
    </row>
    <row r="1215" spans="1:3">
      <c r="A1215">
        <v>4743</v>
      </c>
      <c r="B1215" t="s">
        <v>1619</v>
      </c>
      <c r="C1215">
        <v>37.25</v>
      </c>
    </row>
    <row r="1216" spans="1:3">
      <c r="A1216">
        <v>4745</v>
      </c>
      <c r="B1216" t="s">
        <v>1620</v>
      </c>
      <c r="C1216">
        <v>71</v>
      </c>
    </row>
    <row r="1217" spans="1:3">
      <c r="A1217">
        <v>4747</v>
      </c>
      <c r="B1217" t="s">
        <v>1621</v>
      </c>
      <c r="C1217">
        <v>45.4</v>
      </c>
    </row>
    <row r="1218" spans="1:3">
      <c r="A1218">
        <v>4903</v>
      </c>
      <c r="B1218" t="s">
        <v>1622</v>
      </c>
      <c r="C1218">
        <v>9.6999999999999993</v>
      </c>
    </row>
    <row r="1219" spans="1:3">
      <c r="A1219">
        <v>4905</v>
      </c>
      <c r="B1219" t="s">
        <v>1623</v>
      </c>
      <c r="C1219">
        <v>40.799999999999997</v>
      </c>
    </row>
    <row r="1220" spans="1:3">
      <c r="A1220">
        <v>4907</v>
      </c>
      <c r="B1220" t="s">
        <v>1624</v>
      </c>
      <c r="C1220">
        <v>11</v>
      </c>
    </row>
    <row r="1221" spans="1:3">
      <c r="A1221">
        <v>4908</v>
      </c>
      <c r="B1221" t="s">
        <v>1625</v>
      </c>
      <c r="C1221">
        <v>19.75</v>
      </c>
    </row>
    <row r="1222" spans="1:3">
      <c r="A1222">
        <v>4909</v>
      </c>
      <c r="B1222" t="s">
        <v>394</v>
      </c>
      <c r="C1222">
        <v>23.8</v>
      </c>
    </row>
    <row r="1223" spans="1:3">
      <c r="A1223">
        <v>4911</v>
      </c>
      <c r="B1223" t="s">
        <v>395</v>
      </c>
      <c r="C1223">
        <v>85.2</v>
      </c>
    </row>
    <row r="1224" spans="1:3">
      <c r="A1224">
        <v>4924</v>
      </c>
      <c r="B1224" t="s">
        <v>1626</v>
      </c>
      <c r="C1224">
        <v>6.65</v>
      </c>
    </row>
    <row r="1225" spans="1:3">
      <c r="A1225">
        <v>4933</v>
      </c>
      <c r="B1225" t="s">
        <v>396</v>
      </c>
      <c r="C1225">
        <v>26.4</v>
      </c>
    </row>
    <row r="1226" spans="1:3">
      <c r="A1226">
        <v>4939</v>
      </c>
      <c r="B1226" t="s">
        <v>397</v>
      </c>
      <c r="C1226">
        <v>8</v>
      </c>
    </row>
    <row r="1227" spans="1:3">
      <c r="A1227">
        <v>4944</v>
      </c>
      <c r="B1227" t="s">
        <v>1627</v>
      </c>
      <c r="C1227">
        <v>12.25</v>
      </c>
    </row>
    <row r="1228" spans="1:3">
      <c r="A1228">
        <v>4946</v>
      </c>
      <c r="B1228" t="s">
        <v>1628</v>
      </c>
      <c r="C1228">
        <v>36.15</v>
      </c>
    </row>
    <row r="1229" spans="1:3">
      <c r="A1229">
        <v>4947</v>
      </c>
      <c r="B1229" t="s">
        <v>1629</v>
      </c>
      <c r="C1229">
        <v>209.5</v>
      </c>
    </row>
    <row r="1230" spans="1:3">
      <c r="A1230">
        <v>4950</v>
      </c>
      <c r="B1230" t="s">
        <v>398</v>
      </c>
      <c r="C1230">
        <v>18.3</v>
      </c>
    </row>
    <row r="1231" spans="1:3">
      <c r="A1231">
        <v>4953</v>
      </c>
      <c r="B1231" t="s">
        <v>1630</v>
      </c>
      <c r="C1231">
        <v>22.1</v>
      </c>
    </row>
    <row r="1232" spans="1:3">
      <c r="A1232">
        <v>4965</v>
      </c>
      <c r="B1232" t="s">
        <v>399</v>
      </c>
      <c r="C1232">
        <v>116.5</v>
      </c>
    </row>
    <row r="1233" spans="1:3">
      <c r="A1233">
        <v>4966</v>
      </c>
      <c r="B1233" t="s">
        <v>1631</v>
      </c>
      <c r="C1233">
        <v>229</v>
      </c>
    </row>
    <row r="1234" spans="1:3">
      <c r="A1234">
        <v>4971</v>
      </c>
      <c r="B1234" t="s">
        <v>1632</v>
      </c>
      <c r="C1234">
        <v>109.5</v>
      </c>
    </row>
    <row r="1235" spans="1:3">
      <c r="A1235">
        <v>4972</v>
      </c>
      <c r="B1235" t="s">
        <v>1633</v>
      </c>
      <c r="C1235">
        <v>38.200000000000003</v>
      </c>
    </row>
    <row r="1236" spans="1:3">
      <c r="A1236">
        <v>4973</v>
      </c>
      <c r="B1236" t="s">
        <v>1634</v>
      </c>
      <c r="C1236">
        <v>16.149999999999999</v>
      </c>
    </row>
    <row r="1237" spans="1:3">
      <c r="A1237">
        <v>4974</v>
      </c>
      <c r="B1237" t="s">
        <v>400</v>
      </c>
      <c r="C1237">
        <v>41.5</v>
      </c>
    </row>
    <row r="1238" spans="1:3">
      <c r="A1238">
        <v>4979</v>
      </c>
      <c r="B1238" t="s">
        <v>401</v>
      </c>
      <c r="C1238">
        <v>80</v>
      </c>
    </row>
    <row r="1239" spans="1:3">
      <c r="A1239">
        <v>4987</v>
      </c>
      <c r="B1239" t="s">
        <v>1635</v>
      </c>
      <c r="C1239">
        <v>82.6</v>
      </c>
    </row>
    <row r="1240" spans="1:3">
      <c r="A1240">
        <v>4991</v>
      </c>
      <c r="B1240" t="s">
        <v>1636</v>
      </c>
      <c r="C1240">
        <v>72.5</v>
      </c>
    </row>
    <row r="1241" spans="1:3">
      <c r="A1241">
        <v>4995</v>
      </c>
      <c r="B1241" t="s">
        <v>1637</v>
      </c>
      <c r="C1241">
        <v>39.6</v>
      </c>
    </row>
    <row r="1242" spans="1:3">
      <c r="A1242">
        <v>5009</v>
      </c>
      <c r="B1242" t="s">
        <v>402</v>
      </c>
      <c r="C1242">
        <v>17.55</v>
      </c>
    </row>
    <row r="1243" spans="1:3">
      <c r="A1243">
        <v>5011</v>
      </c>
      <c r="B1243" t="s">
        <v>403</v>
      </c>
      <c r="C1243">
        <v>25.1</v>
      </c>
    </row>
    <row r="1244" spans="1:3">
      <c r="A1244">
        <v>5013</v>
      </c>
      <c r="B1244" t="s">
        <v>1638</v>
      </c>
      <c r="C1244">
        <v>16</v>
      </c>
    </row>
    <row r="1245" spans="1:3">
      <c r="A1245">
        <v>5014</v>
      </c>
      <c r="B1245" t="s">
        <v>1639</v>
      </c>
      <c r="C1245">
        <v>7.02</v>
      </c>
    </row>
    <row r="1246" spans="1:3">
      <c r="A1246">
        <v>5015</v>
      </c>
      <c r="B1246" t="s">
        <v>404</v>
      </c>
      <c r="C1246">
        <v>17.3</v>
      </c>
    </row>
    <row r="1247" spans="1:3">
      <c r="A1247">
        <v>5016</v>
      </c>
      <c r="B1247" t="s">
        <v>1640</v>
      </c>
      <c r="C1247">
        <v>23.8</v>
      </c>
    </row>
    <row r="1248" spans="1:3">
      <c r="A1248">
        <v>5102</v>
      </c>
      <c r="B1248" t="s">
        <v>405</v>
      </c>
      <c r="C1248">
        <v>14.55</v>
      </c>
    </row>
    <row r="1249" spans="1:3">
      <c r="A1249">
        <v>5201</v>
      </c>
      <c r="B1249" t="s">
        <v>1641</v>
      </c>
      <c r="C1249">
        <v>13.15</v>
      </c>
    </row>
    <row r="1250" spans="1:3">
      <c r="A1250">
        <v>5202</v>
      </c>
      <c r="B1250" t="s">
        <v>1642</v>
      </c>
      <c r="C1250">
        <v>14.25</v>
      </c>
    </row>
    <row r="1251" spans="1:3">
      <c r="A1251">
        <v>5205</v>
      </c>
      <c r="B1251" t="s">
        <v>1643</v>
      </c>
      <c r="C1251">
        <v>0</v>
      </c>
    </row>
    <row r="1252" spans="1:3">
      <c r="A1252">
        <v>5206</v>
      </c>
      <c r="B1252" t="s">
        <v>406</v>
      </c>
      <c r="C1252">
        <v>11.9</v>
      </c>
    </row>
    <row r="1253" spans="1:3">
      <c r="A1253">
        <v>5209</v>
      </c>
      <c r="B1253" t="s">
        <v>1644</v>
      </c>
      <c r="C1253">
        <v>42.2</v>
      </c>
    </row>
    <row r="1254" spans="1:3">
      <c r="A1254">
        <v>5210</v>
      </c>
      <c r="B1254" t="s">
        <v>407</v>
      </c>
      <c r="C1254">
        <v>7.05</v>
      </c>
    </row>
    <row r="1255" spans="1:3">
      <c r="A1255">
        <v>5211</v>
      </c>
      <c r="B1255" t="s">
        <v>408</v>
      </c>
      <c r="C1255">
        <v>23.2</v>
      </c>
    </row>
    <row r="1256" spans="1:3">
      <c r="A1256">
        <v>5212</v>
      </c>
      <c r="B1256" t="s">
        <v>1645</v>
      </c>
      <c r="C1256">
        <v>21</v>
      </c>
    </row>
    <row r="1257" spans="1:3">
      <c r="A1257">
        <v>5213</v>
      </c>
      <c r="B1257" t="s">
        <v>1646</v>
      </c>
      <c r="C1257">
        <v>15.1</v>
      </c>
    </row>
    <row r="1258" spans="1:3">
      <c r="A1258">
        <v>5227</v>
      </c>
      <c r="B1258" t="s">
        <v>1647</v>
      </c>
      <c r="C1258">
        <v>35.700000000000003</v>
      </c>
    </row>
    <row r="1259" spans="1:3">
      <c r="A1259">
        <v>5230</v>
      </c>
      <c r="B1259" t="s">
        <v>409</v>
      </c>
      <c r="C1259">
        <v>50</v>
      </c>
    </row>
    <row r="1260" spans="1:3">
      <c r="A1260">
        <v>5245</v>
      </c>
      <c r="B1260" t="s">
        <v>410</v>
      </c>
      <c r="C1260">
        <v>84.7</v>
      </c>
    </row>
    <row r="1261" spans="1:3">
      <c r="A1261">
        <v>5251</v>
      </c>
      <c r="B1261" t="s">
        <v>411</v>
      </c>
      <c r="C1261">
        <v>0</v>
      </c>
    </row>
    <row r="1262" spans="1:3">
      <c r="A1262">
        <v>5255</v>
      </c>
      <c r="B1262" t="s">
        <v>412</v>
      </c>
      <c r="C1262">
        <v>17.3</v>
      </c>
    </row>
    <row r="1263" spans="1:3">
      <c r="A1263">
        <v>5263</v>
      </c>
      <c r="B1263" t="s">
        <v>1648</v>
      </c>
      <c r="C1263">
        <v>267</v>
      </c>
    </row>
    <row r="1264" spans="1:3">
      <c r="A1264">
        <v>5266</v>
      </c>
      <c r="B1264" t="s">
        <v>1649</v>
      </c>
      <c r="C1264">
        <v>62.2</v>
      </c>
    </row>
    <row r="1265" spans="1:3">
      <c r="A1265">
        <v>5272</v>
      </c>
      <c r="B1265" t="s">
        <v>413</v>
      </c>
      <c r="C1265">
        <v>40.200000000000003</v>
      </c>
    </row>
    <row r="1266" spans="1:3">
      <c r="A1266">
        <v>5274</v>
      </c>
      <c r="B1266" t="s">
        <v>1650</v>
      </c>
      <c r="C1266">
        <v>372</v>
      </c>
    </row>
    <row r="1267" spans="1:3">
      <c r="A1267">
        <v>5276</v>
      </c>
      <c r="B1267" t="s">
        <v>1651</v>
      </c>
      <c r="C1267">
        <v>23</v>
      </c>
    </row>
    <row r="1268" spans="1:3">
      <c r="A1268">
        <v>5278</v>
      </c>
      <c r="B1268" t="s">
        <v>414</v>
      </c>
      <c r="C1268">
        <v>29.3</v>
      </c>
    </row>
    <row r="1269" spans="1:3">
      <c r="A1269">
        <v>5284</v>
      </c>
      <c r="B1269" t="s">
        <v>1652</v>
      </c>
      <c r="C1269">
        <v>75.7</v>
      </c>
    </row>
    <row r="1270" spans="1:3">
      <c r="A1270">
        <v>5287</v>
      </c>
      <c r="B1270" t="s">
        <v>415</v>
      </c>
      <c r="C1270">
        <v>288</v>
      </c>
    </row>
    <row r="1271" spans="1:3">
      <c r="A1271">
        <v>5289</v>
      </c>
      <c r="B1271" t="s">
        <v>1653</v>
      </c>
      <c r="C1271">
        <v>96.2</v>
      </c>
    </row>
    <row r="1272" spans="1:3">
      <c r="A1272">
        <v>5291</v>
      </c>
      <c r="B1272" t="s">
        <v>416</v>
      </c>
      <c r="C1272">
        <v>17.55</v>
      </c>
    </row>
    <row r="1273" spans="1:3">
      <c r="A1273">
        <v>5301</v>
      </c>
      <c r="B1273" t="s">
        <v>417</v>
      </c>
      <c r="C1273">
        <v>40.9</v>
      </c>
    </row>
    <row r="1274" spans="1:3">
      <c r="A1274">
        <v>5302</v>
      </c>
      <c r="B1274" t="s">
        <v>418</v>
      </c>
      <c r="C1274">
        <v>5.45</v>
      </c>
    </row>
    <row r="1275" spans="1:3">
      <c r="A1275">
        <v>5304</v>
      </c>
      <c r="B1275" t="s">
        <v>419</v>
      </c>
      <c r="C1275">
        <v>3.02</v>
      </c>
    </row>
    <row r="1276" spans="1:3">
      <c r="A1276">
        <v>5306</v>
      </c>
      <c r="B1276" t="s">
        <v>1654</v>
      </c>
      <c r="C1276">
        <v>138</v>
      </c>
    </row>
    <row r="1277" spans="1:3">
      <c r="A1277">
        <v>5309</v>
      </c>
      <c r="B1277" t="s">
        <v>1655</v>
      </c>
      <c r="C1277">
        <v>19.2</v>
      </c>
    </row>
    <row r="1278" spans="1:3">
      <c r="A1278">
        <v>5310</v>
      </c>
      <c r="B1278" t="s">
        <v>1656</v>
      </c>
      <c r="C1278">
        <v>26.7</v>
      </c>
    </row>
    <row r="1279" spans="1:3">
      <c r="A1279">
        <v>5312</v>
      </c>
      <c r="B1279" t="s">
        <v>420</v>
      </c>
      <c r="C1279">
        <v>82.5</v>
      </c>
    </row>
    <row r="1280" spans="1:3">
      <c r="A1280">
        <v>5314</v>
      </c>
      <c r="B1280" t="s">
        <v>1657</v>
      </c>
      <c r="C1280">
        <v>6.84</v>
      </c>
    </row>
    <row r="1281" spans="1:3">
      <c r="A1281">
        <v>5315</v>
      </c>
      <c r="B1281" t="s">
        <v>1658</v>
      </c>
      <c r="C1281">
        <v>24.3</v>
      </c>
    </row>
    <row r="1282" spans="1:3">
      <c r="A1282">
        <v>5317</v>
      </c>
      <c r="B1282" t="s">
        <v>421</v>
      </c>
      <c r="C1282">
        <v>14.65</v>
      </c>
    </row>
    <row r="1283" spans="1:3">
      <c r="A1283">
        <v>5321</v>
      </c>
      <c r="B1283" t="s">
        <v>1659</v>
      </c>
      <c r="C1283">
        <v>30.05</v>
      </c>
    </row>
    <row r="1284" spans="1:3">
      <c r="A1284">
        <v>5324</v>
      </c>
      <c r="B1284" t="s">
        <v>422</v>
      </c>
      <c r="C1284">
        <v>10.75</v>
      </c>
    </row>
    <row r="1285" spans="1:3">
      <c r="A1285">
        <v>5328</v>
      </c>
      <c r="B1285" t="s">
        <v>1660</v>
      </c>
      <c r="C1285">
        <v>5.81</v>
      </c>
    </row>
    <row r="1286" spans="1:3">
      <c r="A1286">
        <v>5340</v>
      </c>
      <c r="B1286" t="s">
        <v>1661</v>
      </c>
      <c r="C1286">
        <v>3.77</v>
      </c>
    </row>
    <row r="1287" spans="1:3">
      <c r="A1287">
        <v>5344</v>
      </c>
      <c r="B1287" t="s">
        <v>1662</v>
      </c>
      <c r="C1287">
        <v>6.13</v>
      </c>
    </row>
    <row r="1288" spans="1:3">
      <c r="A1288">
        <v>5345</v>
      </c>
      <c r="B1288" t="s">
        <v>423</v>
      </c>
      <c r="C1288">
        <v>10.050000000000001</v>
      </c>
    </row>
    <row r="1289" spans="1:3">
      <c r="A1289">
        <v>5347</v>
      </c>
      <c r="B1289" t="s">
        <v>424</v>
      </c>
      <c r="C1289">
        <v>40.950000000000003</v>
      </c>
    </row>
    <row r="1290" spans="1:3">
      <c r="A1290">
        <v>5348</v>
      </c>
      <c r="B1290" t="s">
        <v>1663</v>
      </c>
      <c r="C1290">
        <v>0</v>
      </c>
    </row>
    <row r="1291" spans="1:3">
      <c r="A1291">
        <v>5349</v>
      </c>
      <c r="B1291" t="s">
        <v>1664</v>
      </c>
      <c r="C1291">
        <v>36.200000000000003</v>
      </c>
    </row>
    <row r="1292" spans="1:3">
      <c r="A1292">
        <v>5351</v>
      </c>
      <c r="B1292" t="s">
        <v>1665</v>
      </c>
      <c r="C1292">
        <v>12.95</v>
      </c>
    </row>
    <row r="1293" spans="1:3">
      <c r="A1293">
        <v>5353</v>
      </c>
      <c r="B1293" t="s">
        <v>1666</v>
      </c>
      <c r="C1293">
        <v>9.27</v>
      </c>
    </row>
    <row r="1294" spans="1:3">
      <c r="A1294">
        <v>5355</v>
      </c>
      <c r="B1294" t="s">
        <v>425</v>
      </c>
      <c r="C1294">
        <v>6.72</v>
      </c>
    </row>
    <row r="1295" spans="1:3">
      <c r="A1295">
        <v>5356</v>
      </c>
      <c r="B1295" t="s">
        <v>1667</v>
      </c>
      <c r="C1295">
        <v>39.049999999999997</v>
      </c>
    </row>
    <row r="1296" spans="1:3">
      <c r="A1296">
        <v>5364</v>
      </c>
      <c r="B1296" t="s">
        <v>426</v>
      </c>
      <c r="C1296">
        <v>0</v>
      </c>
    </row>
    <row r="1297" spans="1:3">
      <c r="A1297">
        <v>5371</v>
      </c>
      <c r="B1297" t="s">
        <v>427</v>
      </c>
      <c r="C1297">
        <v>30.9</v>
      </c>
    </row>
    <row r="1298" spans="1:3">
      <c r="A1298">
        <v>5381</v>
      </c>
      <c r="B1298" t="s">
        <v>1668</v>
      </c>
      <c r="C1298">
        <v>1.53</v>
      </c>
    </row>
    <row r="1299" spans="1:3">
      <c r="A1299">
        <v>5383</v>
      </c>
      <c r="B1299" t="s">
        <v>1669</v>
      </c>
      <c r="C1299">
        <v>10.65</v>
      </c>
    </row>
    <row r="1300" spans="1:3">
      <c r="A1300">
        <v>5384</v>
      </c>
      <c r="B1300" t="s">
        <v>428</v>
      </c>
      <c r="C1300">
        <v>13.05</v>
      </c>
    </row>
    <row r="1301" spans="1:3">
      <c r="A1301">
        <v>5386</v>
      </c>
      <c r="B1301" t="s">
        <v>1670</v>
      </c>
      <c r="C1301">
        <v>25.4</v>
      </c>
    </row>
    <row r="1302" spans="1:3">
      <c r="A1302">
        <v>5392</v>
      </c>
      <c r="B1302" t="s">
        <v>1671</v>
      </c>
      <c r="C1302">
        <v>53.9</v>
      </c>
    </row>
    <row r="1303" spans="1:3">
      <c r="A1303">
        <v>5395</v>
      </c>
      <c r="B1303" t="s">
        <v>1672</v>
      </c>
      <c r="C1303">
        <v>31.45</v>
      </c>
    </row>
    <row r="1304" spans="1:3">
      <c r="A1304">
        <v>5398</v>
      </c>
      <c r="B1304" t="s">
        <v>429</v>
      </c>
      <c r="C1304">
        <v>17.100000000000001</v>
      </c>
    </row>
    <row r="1305" spans="1:3">
      <c r="A1305">
        <v>5403</v>
      </c>
      <c r="B1305" t="s">
        <v>1863</v>
      </c>
      <c r="C1305">
        <v>21.85</v>
      </c>
    </row>
    <row r="1306" spans="1:3">
      <c r="A1306">
        <v>5410</v>
      </c>
      <c r="B1306" t="s">
        <v>1673</v>
      </c>
      <c r="C1306">
        <v>12</v>
      </c>
    </row>
    <row r="1307" spans="1:3">
      <c r="A1307">
        <v>5425</v>
      </c>
      <c r="B1307" t="s">
        <v>430</v>
      </c>
      <c r="C1307">
        <v>34.1</v>
      </c>
    </row>
    <row r="1308" spans="1:3">
      <c r="A1308">
        <v>5426</v>
      </c>
      <c r="B1308" t="s">
        <v>431</v>
      </c>
      <c r="C1308">
        <v>10.8</v>
      </c>
    </row>
    <row r="1309" spans="1:3">
      <c r="A1309">
        <v>5432</v>
      </c>
      <c r="B1309" t="s">
        <v>1674</v>
      </c>
      <c r="C1309">
        <v>15.1</v>
      </c>
    </row>
    <row r="1310" spans="1:3">
      <c r="A1310">
        <v>5438</v>
      </c>
      <c r="B1310" t="s">
        <v>1675</v>
      </c>
      <c r="C1310">
        <v>13.8</v>
      </c>
    </row>
    <row r="1311" spans="1:3">
      <c r="A1311">
        <v>5439</v>
      </c>
      <c r="B1311" t="s">
        <v>432</v>
      </c>
      <c r="C1311">
        <v>18.55</v>
      </c>
    </row>
    <row r="1312" spans="1:3">
      <c r="A1312">
        <v>5443</v>
      </c>
      <c r="B1312" t="s">
        <v>1676</v>
      </c>
      <c r="C1312">
        <v>13.3</v>
      </c>
    </row>
    <row r="1313" spans="1:3">
      <c r="A1313">
        <v>5450</v>
      </c>
      <c r="B1313" t="s">
        <v>433</v>
      </c>
      <c r="C1313">
        <v>8.1</v>
      </c>
    </row>
    <row r="1314" spans="1:3">
      <c r="A1314">
        <v>5452</v>
      </c>
      <c r="B1314" t="s">
        <v>434</v>
      </c>
      <c r="C1314">
        <v>9.31</v>
      </c>
    </row>
    <row r="1315" spans="1:3">
      <c r="A1315">
        <v>5455</v>
      </c>
      <c r="B1315" t="s">
        <v>435</v>
      </c>
      <c r="C1315">
        <v>6.2</v>
      </c>
    </row>
    <row r="1316" spans="1:3">
      <c r="A1316">
        <v>5457</v>
      </c>
      <c r="B1316" t="s">
        <v>436</v>
      </c>
      <c r="C1316">
        <v>29.8</v>
      </c>
    </row>
    <row r="1317" spans="1:3">
      <c r="A1317">
        <v>5460</v>
      </c>
      <c r="B1317" t="s">
        <v>1677</v>
      </c>
      <c r="C1317">
        <v>11.9</v>
      </c>
    </row>
    <row r="1318" spans="1:3">
      <c r="A1318">
        <v>5464</v>
      </c>
      <c r="B1318" t="s">
        <v>1678</v>
      </c>
      <c r="C1318">
        <v>17.2</v>
      </c>
    </row>
    <row r="1319" spans="1:3">
      <c r="A1319">
        <v>5465</v>
      </c>
      <c r="B1319" t="s">
        <v>437</v>
      </c>
      <c r="C1319">
        <v>10.35</v>
      </c>
    </row>
    <row r="1320" spans="1:3">
      <c r="A1320">
        <v>5468</v>
      </c>
      <c r="B1320" t="s">
        <v>438</v>
      </c>
      <c r="C1320">
        <v>7.09</v>
      </c>
    </row>
    <row r="1321" spans="1:3">
      <c r="A1321">
        <v>5474</v>
      </c>
      <c r="B1321" t="s">
        <v>1679</v>
      </c>
      <c r="C1321">
        <v>70.099999999999994</v>
      </c>
    </row>
    <row r="1322" spans="1:3">
      <c r="A1322">
        <v>5475</v>
      </c>
      <c r="B1322" t="s">
        <v>1680</v>
      </c>
      <c r="C1322">
        <v>3.83</v>
      </c>
    </row>
    <row r="1323" spans="1:3">
      <c r="A1323">
        <v>5478</v>
      </c>
      <c r="B1323" t="s">
        <v>439</v>
      </c>
      <c r="C1323">
        <v>60.1</v>
      </c>
    </row>
    <row r="1324" spans="1:3">
      <c r="A1324">
        <v>5480</v>
      </c>
      <c r="B1324" t="s">
        <v>1681</v>
      </c>
      <c r="C1324">
        <v>11.4</v>
      </c>
    </row>
    <row r="1325" spans="1:3">
      <c r="A1325">
        <v>5481</v>
      </c>
      <c r="B1325" t="s">
        <v>1682</v>
      </c>
      <c r="C1325">
        <v>15.45</v>
      </c>
    </row>
    <row r="1326" spans="1:3">
      <c r="A1326">
        <v>5483</v>
      </c>
      <c r="B1326" t="s">
        <v>1683</v>
      </c>
      <c r="C1326">
        <v>44.2</v>
      </c>
    </row>
    <row r="1327" spans="1:3">
      <c r="A1327">
        <v>5487</v>
      </c>
      <c r="B1327" t="s">
        <v>440</v>
      </c>
      <c r="C1327">
        <v>20.399999999999999</v>
      </c>
    </row>
    <row r="1328" spans="1:3">
      <c r="A1328">
        <v>5488</v>
      </c>
      <c r="B1328" t="s">
        <v>1684</v>
      </c>
      <c r="C1328">
        <v>5.85</v>
      </c>
    </row>
    <row r="1329" spans="1:3">
      <c r="A1329">
        <v>5489</v>
      </c>
      <c r="B1329" t="s">
        <v>1685</v>
      </c>
      <c r="C1329">
        <v>51.3</v>
      </c>
    </row>
    <row r="1330" spans="1:3">
      <c r="A1330">
        <v>5490</v>
      </c>
      <c r="B1330" t="s">
        <v>441</v>
      </c>
      <c r="C1330">
        <v>77.099999999999994</v>
      </c>
    </row>
    <row r="1331" spans="1:3">
      <c r="A1331">
        <v>5491</v>
      </c>
      <c r="B1331" t="s">
        <v>1686</v>
      </c>
      <c r="C1331">
        <v>7.25</v>
      </c>
    </row>
    <row r="1332" spans="1:3">
      <c r="A1332">
        <v>5493</v>
      </c>
      <c r="B1332" t="s">
        <v>1687</v>
      </c>
      <c r="C1332">
        <v>35.1</v>
      </c>
    </row>
    <row r="1333" spans="1:3">
      <c r="A1333">
        <v>5498</v>
      </c>
      <c r="B1333" t="s">
        <v>1688</v>
      </c>
      <c r="C1333">
        <v>8.9600000000000009</v>
      </c>
    </row>
    <row r="1334" spans="1:3">
      <c r="A1334">
        <v>5506</v>
      </c>
      <c r="B1334" t="s">
        <v>442</v>
      </c>
      <c r="C1334">
        <v>0.47</v>
      </c>
    </row>
    <row r="1335" spans="1:3">
      <c r="A1335">
        <v>5508</v>
      </c>
      <c r="B1335" t="s">
        <v>1689</v>
      </c>
      <c r="C1335">
        <v>28.35</v>
      </c>
    </row>
    <row r="1336" spans="1:3">
      <c r="A1336">
        <v>5511</v>
      </c>
      <c r="B1336" t="s">
        <v>1690</v>
      </c>
      <c r="C1336">
        <v>24.7</v>
      </c>
    </row>
    <row r="1337" spans="1:3">
      <c r="A1337">
        <v>5512</v>
      </c>
      <c r="B1337" t="s">
        <v>443</v>
      </c>
      <c r="C1337">
        <v>9.36</v>
      </c>
    </row>
    <row r="1338" spans="1:3">
      <c r="A1338">
        <v>5514</v>
      </c>
      <c r="B1338" t="s">
        <v>1691</v>
      </c>
      <c r="C1338">
        <v>11.4</v>
      </c>
    </row>
    <row r="1339" spans="1:3">
      <c r="A1339">
        <v>5516</v>
      </c>
      <c r="B1339" t="s">
        <v>1692</v>
      </c>
      <c r="C1339">
        <v>9.93</v>
      </c>
    </row>
    <row r="1340" spans="1:3">
      <c r="A1340">
        <v>5520</v>
      </c>
      <c r="B1340" t="s">
        <v>1693</v>
      </c>
      <c r="C1340">
        <v>27</v>
      </c>
    </row>
    <row r="1341" spans="1:3">
      <c r="A1341">
        <v>5523</v>
      </c>
      <c r="B1341" t="s">
        <v>444</v>
      </c>
      <c r="C1341">
        <v>8</v>
      </c>
    </row>
    <row r="1342" spans="1:3">
      <c r="A1342">
        <v>5529</v>
      </c>
      <c r="B1342" t="s">
        <v>1694</v>
      </c>
      <c r="C1342">
        <v>8.48</v>
      </c>
    </row>
    <row r="1343" spans="1:3">
      <c r="A1343">
        <v>5530</v>
      </c>
      <c r="B1343" t="s">
        <v>1695</v>
      </c>
      <c r="C1343">
        <v>64.3</v>
      </c>
    </row>
    <row r="1344" spans="1:3">
      <c r="A1344">
        <v>5536</v>
      </c>
      <c r="B1344" t="s">
        <v>445</v>
      </c>
      <c r="C1344">
        <v>88.6</v>
      </c>
    </row>
    <row r="1345" spans="1:3">
      <c r="A1345">
        <v>5601</v>
      </c>
      <c r="B1345" t="s">
        <v>1696</v>
      </c>
      <c r="C1345">
        <v>26.4</v>
      </c>
    </row>
    <row r="1346" spans="1:3">
      <c r="A1346">
        <v>5603</v>
      </c>
      <c r="B1346" t="s">
        <v>446</v>
      </c>
      <c r="C1346">
        <v>15.45</v>
      </c>
    </row>
    <row r="1347" spans="1:3">
      <c r="A1347">
        <v>5604</v>
      </c>
      <c r="B1347" t="s">
        <v>1697</v>
      </c>
      <c r="C1347">
        <v>35.6</v>
      </c>
    </row>
    <row r="1348" spans="1:3">
      <c r="A1348">
        <v>5609</v>
      </c>
      <c r="B1348" t="s">
        <v>447</v>
      </c>
      <c r="C1348">
        <v>17.600000000000001</v>
      </c>
    </row>
    <row r="1349" spans="1:3">
      <c r="A1349">
        <v>5701</v>
      </c>
      <c r="B1349" t="s">
        <v>1698</v>
      </c>
      <c r="C1349">
        <v>3.42</v>
      </c>
    </row>
    <row r="1350" spans="1:3">
      <c r="A1350">
        <v>5703</v>
      </c>
      <c r="B1350" t="s">
        <v>1699</v>
      </c>
      <c r="C1350">
        <v>21.8</v>
      </c>
    </row>
    <row r="1351" spans="1:3">
      <c r="A1351">
        <v>5704</v>
      </c>
      <c r="B1351" t="s">
        <v>1700</v>
      </c>
      <c r="C1351">
        <v>27.1</v>
      </c>
    </row>
    <row r="1352" spans="1:3">
      <c r="A1352">
        <v>5820</v>
      </c>
      <c r="B1352" t="s">
        <v>1701</v>
      </c>
      <c r="C1352">
        <v>7.36</v>
      </c>
    </row>
    <row r="1353" spans="1:3">
      <c r="A1353">
        <v>5878</v>
      </c>
      <c r="B1353" t="s">
        <v>448</v>
      </c>
      <c r="C1353">
        <v>0</v>
      </c>
    </row>
    <row r="1354" spans="1:3">
      <c r="A1354">
        <v>5902</v>
      </c>
      <c r="B1354" t="s">
        <v>449</v>
      </c>
      <c r="C1354">
        <v>9.5500000000000007</v>
      </c>
    </row>
    <row r="1355" spans="1:3">
      <c r="A1355">
        <v>5903</v>
      </c>
      <c r="B1355" t="s">
        <v>1702</v>
      </c>
      <c r="C1355">
        <v>207</v>
      </c>
    </row>
    <row r="1356" spans="1:3">
      <c r="A1356">
        <v>5904</v>
      </c>
      <c r="B1356" t="s">
        <v>450</v>
      </c>
      <c r="C1356">
        <v>334.5</v>
      </c>
    </row>
    <row r="1357" spans="1:3">
      <c r="A1357">
        <v>5905</v>
      </c>
      <c r="B1357" t="s">
        <v>1703</v>
      </c>
      <c r="C1357">
        <v>9.15</v>
      </c>
    </row>
    <row r="1358" spans="1:3">
      <c r="A1358">
        <v>6015</v>
      </c>
      <c r="B1358" t="s">
        <v>1704</v>
      </c>
      <c r="C1358">
        <v>6.58</v>
      </c>
    </row>
    <row r="1359" spans="1:3">
      <c r="A1359">
        <v>6016</v>
      </c>
      <c r="B1359" t="s">
        <v>1705</v>
      </c>
      <c r="C1359">
        <v>6.65</v>
      </c>
    </row>
    <row r="1360" spans="1:3">
      <c r="A1360">
        <v>6020</v>
      </c>
      <c r="B1360" t="s">
        <v>451</v>
      </c>
      <c r="C1360">
        <v>13.95</v>
      </c>
    </row>
    <row r="1361" spans="1:3">
      <c r="A1361">
        <v>6021</v>
      </c>
      <c r="B1361" t="s">
        <v>452</v>
      </c>
      <c r="C1361">
        <v>11.25</v>
      </c>
    </row>
    <row r="1362" spans="1:3">
      <c r="A1362">
        <v>6022</v>
      </c>
      <c r="B1362" t="s">
        <v>1706</v>
      </c>
      <c r="C1362">
        <v>10.1</v>
      </c>
    </row>
    <row r="1363" spans="1:3">
      <c r="A1363">
        <v>6023</v>
      </c>
      <c r="B1363" t="s">
        <v>1707</v>
      </c>
      <c r="C1363">
        <v>35.9</v>
      </c>
    </row>
    <row r="1364" spans="1:3">
      <c r="A1364">
        <v>6024</v>
      </c>
      <c r="B1364" t="s">
        <v>453</v>
      </c>
      <c r="C1364">
        <v>28.45</v>
      </c>
    </row>
    <row r="1365" spans="1:3">
      <c r="A1365">
        <v>6101</v>
      </c>
      <c r="B1365" t="s">
        <v>1708</v>
      </c>
      <c r="C1365">
        <v>14.4</v>
      </c>
    </row>
    <row r="1366" spans="1:3">
      <c r="A1366">
        <v>6103</v>
      </c>
      <c r="B1366" t="s">
        <v>1709</v>
      </c>
      <c r="C1366">
        <v>8.6999999999999993</v>
      </c>
    </row>
    <row r="1367" spans="1:3">
      <c r="A1367">
        <v>6104</v>
      </c>
      <c r="B1367" t="s">
        <v>1710</v>
      </c>
      <c r="C1367">
        <v>37</v>
      </c>
    </row>
    <row r="1368" spans="1:3">
      <c r="A1368">
        <v>6105</v>
      </c>
      <c r="B1368" t="s">
        <v>1711</v>
      </c>
      <c r="C1368">
        <v>44.8</v>
      </c>
    </row>
    <row r="1369" spans="1:3">
      <c r="A1369">
        <v>6107</v>
      </c>
      <c r="B1369" t="s">
        <v>1712</v>
      </c>
      <c r="C1369">
        <v>75</v>
      </c>
    </row>
    <row r="1370" spans="1:3">
      <c r="A1370">
        <v>6109</v>
      </c>
      <c r="B1370" t="s">
        <v>1713</v>
      </c>
      <c r="C1370">
        <v>13.65</v>
      </c>
    </row>
    <row r="1371" spans="1:3">
      <c r="A1371">
        <v>6111</v>
      </c>
      <c r="B1371" t="s">
        <v>1714</v>
      </c>
      <c r="C1371">
        <v>92.8</v>
      </c>
    </row>
    <row r="1372" spans="1:3">
      <c r="A1372">
        <v>6113</v>
      </c>
      <c r="B1372" t="s">
        <v>1715</v>
      </c>
      <c r="C1372">
        <v>8.27</v>
      </c>
    </row>
    <row r="1373" spans="1:3">
      <c r="A1373">
        <v>6114</v>
      </c>
      <c r="B1373" t="s">
        <v>1716</v>
      </c>
      <c r="C1373">
        <v>55</v>
      </c>
    </row>
    <row r="1374" spans="1:3">
      <c r="A1374">
        <v>6118</v>
      </c>
      <c r="B1374" t="s">
        <v>1717</v>
      </c>
      <c r="C1374">
        <v>7.53</v>
      </c>
    </row>
    <row r="1375" spans="1:3">
      <c r="A1375">
        <v>6121</v>
      </c>
      <c r="B1375" t="s">
        <v>454</v>
      </c>
      <c r="C1375">
        <v>117.5</v>
      </c>
    </row>
    <row r="1376" spans="1:3">
      <c r="A1376">
        <v>6122</v>
      </c>
      <c r="B1376" t="s">
        <v>1718</v>
      </c>
      <c r="C1376">
        <v>6.52</v>
      </c>
    </row>
    <row r="1377" spans="1:3">
      <c r="A1377">
        <v>6123</v>
      </c>
      <c r="B1377" t="s">
        <v>1719</v>
      </c>
      <c r="C1377">
        <v>25.8</v>
      </c>
    </row>
    <row r="1378" spans="1:3">
      <c r="A1378">
        <v>6124</v>
      </c>
      <c r="B1378" t="s">
        <v>1720</v>
      </c>
      <c r="C1378">
        <v>24.8</v>
      </c>
    </row>
    <row r="1379" spans="1:3">
      <c r="A1379">
        <v>6125</v>
      </c>
      <c r="B1379" t="s">
        <v>455</v>
      </c>
      <c r="C1379">
        <v>12.4</v>
      </c>
    </row>
    <row r="1380" spans="1:3">
      <c r="A1380">
        <v>6126</v>
      </c>
      <c r="B1380" t="s">
        <v>1721</v>
      </c>
      <c r="C1380">
        <v>7.36</v>
      </c>
    </row>
    <row r="1381" spans="1:3">
      <c r="A1381">
        <v>6127</v>
      </c>
      <c r="B1381" t="s">
        <v>1722</v>
      </c>
      <c r="C1381">
        <v>9.7100000000000009</v>
      </c>
    </row>
    <row r="1382" spans="1:3">
      <c r="A1382">
        <v>6129</v>
      </c>
      <c r="B1382" t="s">
        <v>1723</v>
      </c>
      <c r="C1382">
        <v>7.37</v>
      </c>
    </row>
    <row r="1383" spans="1:3">
      <c r="A1383">
        <v>6130</v>
      </c>
      <c r="B1383" t="s">
        <v>456</v>
      </c>
      <c r="C1383">
        <v>32.1</v>
      </c>
    </row>
    <row r="1384" spans="1:3">
      <c r="A1384">
        <v>6134</v>
      </c>
      <c r="B1384" t="s">
        <v>1724</v>
      </c>
      <c r="C1384">
        <v>6.74</v>
      </c>
    </row>
    <row r="1385" spans="1:3">
      <c r="A1385">
        <v>6138</v>
      </c>
      <c r="B1385" t="s">
        <v>1725</v>
      </c>
      <c r="C1385">
        <v>20.9</v>
      </c>
    </row>
    <row r="1386" spans="1:3">
      <c r="A1386">
        <v>6140</v>
      </c>
      <c r="B1386" t="s">
        <v>1726</v>
      </c>
      <c r="C1386">
        <v>0</v>
      </c>
    </row>
    <row r="1387" spans="1:3">
      <c r="A1387">
        <v>6143</v>
      </c>
      <c r="B1387" t="s">
        <v>1727</v>
      </c>
      <c r="C1387">
        <v>63.8</v>
      </c>
    </row>
    <row r="1388" spans="1:3">
      <c r="A1388">
        <v>6144</v>
      </c>
      <c r="B1388" t="s">
        <v>1728</v>
      </c>
      <c r="C1388">
        <v>0</v>
      </c>
    </row>
    <row r="1389" spans="1:3">
      <c r="A1389">
        <v>6146</v>
      </c>
      <c r="B1389" t="s">
        <v>457</v>
      </c>
      <c r="C1389">
        <v>191</v>
      </c>
    </row>
    <row r="1390" spans="1:3">
      <c r="A1390">
        <v>6147</v>
      </c>
      <c r="B1390" t="s">
        <v>1729</v>
      </c>
      <c r="C1390">
        <v>51.4</v>
      </c>
    </row>
    <row r="1391" spans="1:3">
      <c r="A1391">
        <v>6148</v>
      </c>
      <c r="B1391" t="s">
        <v>1730</v>
      </c>
      <c r="C1391">
        <v>7.77</v>
      </c>
    </row>
    <row r="1392" spans="1:3">
      <c r="A1392">
        <v>6150</v>
      </c>
      <c r="B1392" t="s">
        <v>1731</v>
      </c>
      <c r="C1392">
        <v>7.12</v>
      </c>
    </row>
    <row r="1393" spans="1:3">
      <c r="A1393">
        <v>6151</v>
      </c>
      <c r="B1393" t="s">
        <v>1732</v>
      </c>
      <c r="C1393">
        <v>22.05</v>
      </c>
    </row>
    <row r="1394" spans="1:3">
      <c r="A1394">
        <v>6154</v>
      </c>
      <c r="B1394" t="s">
        <v>458</v>
      </c>
      <c r="C1394">
        <v>16.75</v>
      </c>
    </row>
    <row r="1395" spans="1:3">
      <c r="A1395">
        <v>6156</v>
      </c>
      <c r="B1395" t="s">
        <v>1865</v>
      </c>
      <c r="C1395">
        <v>14.6</v>
      </c>
    </row>
    <row r="1396" spans="1:3">
      <c r="A1396">
        <v>6158</v>
      </c>
      <c r="B1396" t="s">
        <v>459</v>
      </c>
      <c r="C1396">
        <v>10.6</v>
      </c>
    </row>
    <row r="1397" spans="1:3">
      <c r="A1397">
        <v>6160</v>
      </c>
      <c r="B1397" t="s">
        <v>1733</v>
      </c>
      <c r="C1397">
        <v>13.6</v>
      </c>
    </row>
    <row r="1398" spans="1:3">
      <c r="A1398">
        <v>6161</v>
      </c>
      <c r="B1398" t="s">
        <v>460</v>
      </c>
      <c r="C1398">
        <v>7.46</v>
      </c>
    </row>
    <row r="1399" spans="1:3">
      <c r="A1399">
        <v>6163</v>
      </c>
      <c r="B1399" t="s">
        <v>461</v>
      </c>
      <c r="C1399">
        <v>11.2</v>
      </c>
    </row>
    <row r="1400" spans="1:3">
      <c r="A1400">
        <v>6167</v>
      </c>
      <c r="B1400" t="s">
        <v>1734</v>
      </c>
      <c r="C1400">
        <v>4.16</v>
      </c>
    </row>
    <row r="1401" spans="1:3">
      <c r="A1401">
        <v>6169</v>
      </c>
      <c r="B1401" t="s">
        <v>1735</v>
      </c>
      <c r="C1401">
        <v>28.25</v>
      </c>
    </row>
    <row r="1402" spans="1:3">
      <c r="A1402">
        <v>6170</v>
      </c>
      <c r="B1402" t="s">
        <v>462</v>
      </c>
      <c r="C1402">
        <v>10.050000000000001</v>
      </c>
    </row>
    <row r="1403" spans="1:3">
      <c r="A1403">
        <v>6171</v>
      </c>
      <c r="B1403" t="s">
        <v>463</v>
      </c>
      <c r="C1403">
        <v>12.8</v>
      </c>
    </row>
    <row r="1404" spans="1:3">
      <c r="A1404">
        <v>6173</v>
      </c>
      <c r="B1404" t="s">
        <v>1736</v>
      </c>
      <c r="C1404">
        <v>9.7100000000000009</v>
      </c>
    </row>
    <row r="1405" spans="1:3">
      <c r="A1405">
        <v>6174</v>
      </c>
      <c r="B1405" t="s">
        <v>1737</v>
      </c>
      <c r="C1405">
        <v>14.2</v>
      </c>
    </row>
    <row r="1406" spans="1:3">
      <c r="A1406">
        <v>6175</v>
      </c>
      <c r="B1406" t="s">
        <v>464</v>
      </c>
      <c r="C1406">
        <v>12.6</v>
      </c>
    </row>
    <row r="1407" spans="1:3">
      <c r="A1407">
        <v>6179</v>
      </c>
      <c r="B1407" t="s">
        <v>465</v>
      </c>
      <c r="C1407">
        <v>38</v>
      </c>
    </row>
    <row r="1408" spans="1:3">
      <c r="A1408">
        <v>6180</v>
      </c>
      <c r="B1408" t="s">
        <v>1738</v>
      </c>
      <c r="C1408">
        <v>46.4</v>
      </c>
    </row>
    <row r="1409" spans="1:3">
      <c r="A1409">
        <v>6182</v>
      </c>
      <c r="B1409" t="s">
        <v>466</v>
      </c>
      <c r="C1409">
        <v>10.75</v>
      </c>
    </row>
    <row r="1410" spans="1:3">
      <c r="A1410">
        <v>6185</v>
      </c>
      <c r="B1410" t="s">
        <v>1739</v>
      </c>
      <c r="C1410">
        <v>24.3</v>
      </c>
    </row>
    <row r="1411" spans="1:3">
      <c r="A1411">
        <v>6186</v>
      </c>
      <c r="B1411" t="s">
        <v>467</v>
      </c>
      <c r="C1411">
        <v>24.8</v>
      </c>
    </row>
    <row r="1412" spans="1:3">
      <c r="A1412">
        <v>6187</v>
      </c>
      <c r="B1412" t="s">
        <v>1740</v>
      </c>
      <c r="C1412">
        <v>40.75</v>
      </c>
    </row>
    <row r="1413" spans="1:3">
      <c r="A1413">
        <v>6188</v>
      </c>
      <c r="B1413" t="s">
        <v>1741</v>
      </c>
      <c r="C1413">
        <v>19.45</v>
      </c>
    </row>
    <row r="1414" spans="1:3">
      <c r="A1414">
        <v>6190</v>
      </c>
      <c r="B1414" t="s">
        <v>468</v>
      </c>
      <c r="C1414">
        <v>5.87</v>
      </c>
    </row>
    <row r="1415" spans="1:3">
      <c r="A1415">
        <v>6194</v>
      </c>
      <c r="B1415" t="s">
        <v>1742</v>
      </c>
      <c r="C1415">
        <v>20.05</v>
      </c>
    </row>
    <row r="1416" spans="1:3">
      <c r="A1416">
        <v>6195</v>
      </c>
      <c r="B1416" t="s">
        <v>469</v>
      </c>
      <c r="C1416">
        <v>49.5</v>
      </c>
    </row>
    <row r="1417" spans="1:3">
      <c r="A1417">
        <v>6198</v>
      </c>
      <c r="B1417" t="s">
        <v>1743</v>
      </c>
      <c r="C1417">
        <v>15.9</v>
      </c>
    </row>
    <row r="1418" spans="1:3">
      <c r="A1418">
        <v>6199</v>
      </c>
      <c r="B1418" t="s">
        <v>1744</v>
      </c>
      <c r="C1418">
        <v>0</v>
      </c>
    </row>
    <row r="1419" spans="1:3">
      <c r="A1419">
        <v>6203</v>
      </c>
      <c r="B1419" t="s">
        <v>470</v>
      </c>
      <c r="C1419">
        <v>30.9</v>
      </c>
    </row>
    <row r="1420" spans="1:3">
      <c r="A1420">
        <v>6204</v>
      </c>
      <c r="B1420" t="s">
        <v>1745</v>
      </c>
      <c r="C1420">
        <v>21.95</v>
      </c>
    </row>
    <row r="1421" spans="1:3">
      <c r="A1421">
        <v>6207</v>
      </c>
      <c r="B1421" t="s">
        <v>471</v>
      </c>
      <c r="C1421">
        <v>29.8</v>
      </c>
    </row>
    <row r="1422" spans="1:3">
      <c r="A1422">
        <v>6208</v>
      </c>
      <c r="B1422" t="s">
        <v>1746</v>
      </c>
      <c r="C1422">
        <v>10.9</v>
      </c>
    </row>
    <row r="1423" spans="1:3">
      <c r="A1423">
        <v>6210</v>
      </c>
      <c r="B1423" t="s">
        <v>1747</v>
      </c>
      <c r="C1423">
        <v>44.35</v>
      </c>
    </row>
    <row r="1424" spans="1:3">
      <c r="A1424">
        <v>6211</v>
      </c>
      <c r="B1424" t="s">
        <v>1748</v>
      </c>
      <c r="C1424">
        <v>21.15</v>
      </c>
    </row>
    <row r="1425" spans="1:3">
      <c r="A1425">
        <v>6212</v>
      </c>
      <c r="B1425" t="s">
        <v>472</v>
      </c>
      <c r="C1425">
        <v>24.1</v>
      </c>
    </row>
    <row r="1426" spans="1:3">
      <c r="A1426">
        <v>6217</v>
      </c>
      <c r="B1426" t="s">
        <v>1749</v>
      </c>
      <c r="C1426">
        <v>47.7</v>
      </c>
    </row>
    <row r="1427" spans="1:3">
      <c r="A1427">
        <v>6218</v>
      </c>
      <c r="B1427" t="s">
        <v>1750</v>
      </c>
      <c r="C1427">
        <v>16.95</v>
      </c>
    </row>
    <row r="1428" spans="1:3">
      <c r="A1428">
        <v>6219</v>
      </c>
      <c r="B1428" t="s">
        <v>1751</v>
      </c>
      <c r="C1428">
        <v>11.8</v>
      </c>
    </row>
    <row r="1429" spans="1:3">
      <c r="A1429">
        <v>6220</v>
      </c>
      <c r="B1429" t="s">
        <v>473</v>
      </c>
      <c r="C1429">
        <v>15.15</v>
      </c>
    </row>
    <row r="1430" spans="1:3">
      <c r="A1430">
        <v>6221</v>
      </c>
      <c r="B1430" t="s">
        <v>474</v>
      </c>
      <c r="C1430">
        <v>23.3</v>
      </c>
    </row>
    <row r="1431" spans="1:3">
      <c r="A1431">
        <v>6222</v>
      </c>
      <c r="B1431" t="s">
        <v>1752</v>
      </c>
      <c r="C1431">
        <v>7.5</v>
      </c>
    </row>
    <row r="1432" spans="1:3">
      <c r="A1432">
        <v>6223</v>
      </c>
      <c r="B1432" t="s">
        <v>475</v>
      </c>
      <c r="C1432">
        <v>67.2</v>
      </c>
    </row>
    <row r="1433" spans="1:3">
      <c r="A1433">
        <v>6227</v>
      </c>
      <c r="B1433" t="s">
        <v>476</v>
      </c>
      <c r="C1433">
        <v>17.850000000000001</v>
      </c>
    </row>
    <row r="1434" spans="1:3">
      <c r="A1434">
        <v>6228</v>
      </c>
      <c r="B1434" t="s">
        <v>1753</v>
      </c>
      <c r="C1434">
        <v>12.1</v>
      </c>
    </row>
    <row r="1435" spans="1:3">
      <c r="A1435">
        <v>6229</v>
      </c>
      <c r="B1435" t="s">
        <v>477</v>
      </c>
      <c r="C1435">
        <v>11.85</v>
      </c>
    </row>
    <row r="1436" spans="1:3">
      <c r="A1436">
        <v>6231</v>
      </c>
      <c r="B1436" t="s">
        <v>478</v>
      </c>
      <c r="C1436">
        <v>29.9</v>
      </c>
    </row>
    <row r="1437" spans="1:3">
      <c r="A1437">
        <v>6233</v>
      </c>
      <c r="B1437" t="s">
        <v>1754</v>
      </c>
      <c r="C1437">
        <v>12.85</v>
      </c>
    </row>
    <row r="1438" spans="1:3">
      <c r="A1438">
        <v>6234</v>
      </c>
      <c r="B1438" t="s">
        <v>479</v>
      </c>
      <c r="C1438">
        <v>19.75</v>
      </c>
    </row>
    <row r="1439" spans="1:3">
      <c r="A1439">
        <v>6236</v>
      </c>
      <c r="B1439" t="s">
        <v>480</v>
      </c>
      <c r="C1439">
        <v>32.799999999999997</v>
      </c>
    </row>
    <row r="1440" spans="1:3">
      <c r="A1440">
        <v>6237</v>
      </c>
      <c r="B1440" t="s">
        <v>481</v>
      </c>
      <c r="C1440">
        <v>35.5</v>
      </c>
    </row>
    <row r="1441" spans="1:3">
      <c r="A1441">
        <v>6238</v>
      </c>
      <c r="B1441" t="s">
        <v>1755</v>
      </c>
      <c r="C1441">
        <v>161.5</v>
      </c>
    </row>
    <row r="1442" spans="1:3">
      <c r="A1442">
        <v>6240</v>
      </c>
      <c r="B1442" t="s">
        <v>1756</v>
      </c>
      <c r="C1442">
        <v>0</v>
      </c>
    </row>
    <row r="1443" spans="1:3">
      <c r="A1443">
        <v>6241</v>
      </c>
      <c r="B1443" t="s">
        <v>482</v>
      </c>
      <c r="C1443">
        <v>14.3</v>
      </c>
    </row>
    <row r="1444" spans="1:3">
      <c r="A1444">
        <v>6242</v>
      </c>
      <c r="B1444" t="s">
        <v>1757</v>
      </c>
      <c r="C1444">
        <v>0</v>
      </c>
    </row>
    <row r="1445" spans="1:3">
      <c r="A1445">
        <v>6244</v>
      </c>
      <c r="B1445" t="s">
        <v>483</v>
      </c>
      <c r="C1445">
        <v>43.5</v>
      </c>
    </row>
    <row r="1446" spans="1:3">
      <c r="A1446">
        <v>6245</v>
      </c>
      <c r="B1446" t="s">
        <v>1758</v>
      </c>
      <c r="C1446">
        <v>42.9</v>
      </c>
    </row>
    <row r="1447" spans="1:3">
      <c r="A1447">
        <v>6246</v>
      </c>
      <c r="B1447" t="s">
        <v>484</v>
      </c>
      <c r="C1447">
        <v>2.2799999999999998</v>
      </c>
    </row>
    <row r="1448" spans="1:3">
      <c r="A1448">
        <v>6247</v>
      </c>
      <c r="B1448" t="s">
        <v>1759</v>
      </c>
      <c r="C1448">
        <v>14.45</v>
      </c>
    </row>
    <row r="1449" spans="1:3">
      <c r="A1449">
        <v>6248</v>
      </c>
      <c r="B1449" t="s">
        <v>485</v>
      </c>
      <c r="C1449">
        <v>23</v>
      </c>
    </row>
    <row r="1450" spans="1:3">
      <c r="A1450">
        <v>6259</v>
      </c>
      <c r="B1450" t="s">
        <v>487</v>
      </c>
      <c r="C1450">
        <v>8.17</v>
      </c>
    </row>
    <row r="1451" spans="1:3">
      <c r="A1451">
        <v>6261</v>
      </c>
      <c r="B1451" t="s">
        <v>488</v>
      </c>
      <c r="C1451">
        <v>44.6</v>
      </c>
    </row>
    <row r="1452" spans="1:3">
      <c r="A1452">
        <v>6263</v>
      </c>
      <c r="B1452" t="s">
        <v>1760</v>
      </c>
      <c r="C1452">
        <v>48.95</v>
      </c>
    </row>
    <row r="1453" spans="1:3">
      <c r="A1453">
        <v>6264</v>
      </c>
      <c r="B1453" t="s">
        <v>489</v>
      </c>
      <c r="C1453">
        <v>6.1</v>
      </c>
    </row>
    <row r="1454" spans="1:3">
      <c r="A1454">
        <v>6265</v>
      </c>
      <c r="B1454" t="s">
        <v>490</v>
      </c>
      <c r="C1454">
        <v>7.48</v>
      </c>
    </row>
    <row r="1455" spans="1:3">
      <c r="A1455">
        <v>6266</v>
      </c>
      <c r="B1455" t="s">
        <v>1761</v>
      </c>
      <c r="C1455">
        <v>12.8</v>
      </c>
    </row>
    <row r="1456" spans="1:3">
      <c r="A1456">
        <v>6270</v>
      </c>
      <c r="B1456" t="s">
        <v>1762</v>
      </c>
      <c r="C1456">
        <v>10.45</v>
      </c>
    </row>
    <row r="1457" spans="1:3">
      <c r="A1457">
        <v>6274</v>
      </c>
      <c r="B1457" t="s">
        <v>491</v>
      </c>
      <c r="C1457">
        <v>29.85</v>
      </c>
    </row>
    <row r="1458" spans="1:3">
      <c r="A1458">
        <v>6275</v>
      </c>
      <c r="B1458" t="s">
        <v>1763</v>
      </c>
      <c r="C1458">
        <v>12.65</v>
      </c>
    </row>
    <row r="1459" spans="1:3">
      <c r="A1459">
        <v>6276</v>
      </c>
      <c r="B1459" t="s">
        <v>492</v>
      </c>
      <c r="C1459">
        <v>7.74</v>
      </c>
    </row>
    <row r="1460" spans="1:3">
      <c r="A1460">
        <v>6279</v>
      </c>
      <c r="B1460" t="s">
        <v>1764</v>
      </c>
      <c r="C1460">
        <v>149.5</v>
      </c>
    </row>
    <row r="1461" spans="1:3">
      <c r="A1461">
        <v>6284</v>
      </c>
      <c r="B1461" t="s">
        <v>1765</v>
      </c>
      <c r="C1461">
        <v>23.2</v>
      </c>
    </row>
    <row r="1462" spans="1:3">
      <c r="A1462">
        <v>6287</v>
      </c>
      <c r="B1462" t="s">
        <v>1766</v>
      </c>
      <c r="C1462">
        <v>3.34</v>
      </c>
    </row>
    <row r="1463" spans="1:3">
      <c r="A1463">
        <v>6290</v>
      </c>
      <c r="B1463" t="s">
        <v>1767</v>
      </c>
      <c r="C1463">
        <v>24.5</v>
      </c>
    </row>
    <row r="1464" spans="1:3">
      <c r="A1464">
        <v>6291</v>
      </c>
      <c r="B1464" t="s">
        <v>493</v>
      </c>
      <c r="C1464">
        <v>2.95</v>
      </c>
    </row>
    <row r="1465" spans="1:3">
      <c r="A1465">
        <v>6292</v>
      </c>
      <c r="B1465" t="s">
        <v>1768</v>
      </c>
      <c r="C1465">
        <v>28.4</v>
      </c>
    </row>
    <row r="1466" spans="1:3">
      <c r="A1466">
        <v>6294</v>
      </c>
      <c r="B1466" t="s">
        <v>1769</v>
      </c>
      <c r="C1466">
        <v>88.5</v>
      </c>
    </row>
    <row r="1467" spans="1:3">
      <c r="A1467">
        <v>6298</v>
      </c>
      <c r="B1467" t="s">
        <v>1770</v>
      </c>
      <c r="C1467">
        <v>17.25</v>
      </c>
    </row>
    <row r="1468" spans="1:3">
      <c r="A1468">
        <v>6404</v>
      </c>
      <c r="B1468" t="s">
        <v>1771</v>
      </c>
      <c r="C1468">
        <v>47.1</v>
      </c>
    </row>
    <row r="1469" spans="1:3">
      <c r="A1469">
        <v>6411</v>
      </c>
      <c r="B1469" t="s">
        <v>494</v>
      </c>
      <c r="C1469">
        <v>31.75</v>
      </c>
    </row>
    <row r="1470" spans="1:3">
      <c r="A1470">
        <v>6417</v>
      </c>
      <c r="B1470" t="s">
        <v>540</v>
      </c>
      <c r="C1470">
        <v>51.8</v>
      </c>
    </row>
    <row r="1471" spans="1:3">
      <c r="A1471">
        <v>6419</v>
      </c>
      <c r="B1471" t="s">
        <v>1772</v>
      </c>
      <c r="C1471">
        <v>25.7</v>
      </c>
    </row>
    <row r="1472" spans="1:3">
      <c r="A1472">
        <v>6426</v>
      </c>
      <c r="B1472" t="s">
        <v>495</v>
      </c>
      <c r="C1472">
        <v>35.15</v>
      </c>
    </row>
    <row r="1473" spans="1:3">
      <c r="A1473">
        <v>6432</v>
      </c>
      <c r="B1473" t="s">
        <v>1773</v>
      </c>
      <c r="C1473">
        <v>31.85</v>
      </c>
    </row>
    <row r="1474" spans="1:3">
      <c r="A1474">
        <v>6457</v>
      </c>
      <c r="B1474" t="s">
        <v>1774</v>
      </c>
      <c r="C1474">
        <v>41.35</v>
      </c>
    </row>
    <row r="1475" spans="1:3">
      <c r="A1475">
        <v>6465</v>
      </c>
      <c r="B1475" t="s">
        <v>2278</v>
      </c>
      <c r="C1475">
        <v>91</v>
      </c>
    </row>
    <row r="1476" spans="1:3">
      <c r="A1476">
        <v>6470</v>
      </c>
      <c r="B1476" t="s">
        <v>1922</v>
      </c>
      <c r="C1476">
        <v>60.2</v>
      </c>
    </row>
    <row r="1477" spans="1:3">
      <c r="A1477">
        <v>6485</v>
      </c>
      <c r="B1477" t="s">
        <v>2279</v>
      </c>
      <c r="C1477">
        <v>69.5</v>
      </c>
    </row>
    <row r="1478" spans="1:3">
      <c r="A1478">
        <v>6488</v>
      </c>
      <c r="B1478" t="s">
        <v>1775</v>
      </c>
      <c r="C1478">
        <v>79.099999999999994</v>
      </c>
    </row>
    <row r="1479" spans="1:3">
      <c r="A1479">
        <v>6506</v>
      </c>
      <c r="B1479" t="s">
        <v>1776</v>
      </c>
      <c r="C1479">
        <v>18.8</v>
      </c>
    </row>
    <row r="1480" spans="1:3">
      <c r="A1480">
        <v>6508</v>
      </c>
      <c r="B1480" t="s">
        <v>496</v>
      </c>
      <c r="C1480">
        <v>28.55</v>
      </c>
    </row>
    <row r="1481" spans="1:3">
      <c r="A1481">
        <v>6509</v>
      </c>
      <c r="B1481" t="s">
        <v>497</v>
      </c>
      <c r="C1481">
        <v>21.35</v>
      </c>
    </row>
    <row r="1482" spans="1:3">
      <c r="A1482">
        <v>6603</v>
      </c>
      <c r="B1482" t="s">
        <v>498</v>
      </c>
      <c r="C1482">
        <v>10.85</v>
      </c>
    </row>
    <row r="1483" spans="1:3">
      <c r="A1483">
        <v>6609</v>
      </c>
      <c r="B1483" t="s">
        <v>499</v>
      </c>
      <c r="C1483">
        <v>29.6</v>
      </c>
    </row>
    <row r="1484" spans="1:3">
      <c r="A1484">
        <v>6803</v>
      </c>
      <c r="B1484" t="s">
        <v>1777</v>
      </c>
      <c r="C1484">
        <v>165</v>
      </c>
    </row>
    <row r="1485" spans="1:3">
      <c r="A1485">
        <v>8024</v>
      </c>
      <c r="B1485" t="s">
        <v>500</v>
      </c>
      <c r="C1485">
        <v>10.95</v>
      </c>
    </row>
    <row r="1486" spans="1:3">
      <c r="A1486">
        <v>8027</v>
      </c>
      <c r="B1486" t="s">
        <v>1778</v>
      </c>
      <c r="C1486">
        <v>22.15</v>
      </c>
    </row>
    <row r="1487" spans="1:3">
      <c r="A1487">
        <v>8032</v>
      </c>
      <c r="B1487" t="s">
        <v>1779</v>
      </c>
      <c r="C1487">
        <v>28.4</v>
      </c>
    </row>
    <row r="1488" spans="1:3">
      <c r="A1488">
        <v>8034</v>
      </c>
      <c r="B1488" t="s">
        <v>1780</v>
      </c>
      <c r="C1488">
        <v>5.95</v>
      </c>
    </row>
    <row r="1489" spans="1:3">
      <c r="A1489">
        <v>8038</v>
      </c>
      <c r="B1489" t="s">
        <v>501</v>
      </c>
      <c r="C1489">
        <v>40</v>
      </c>
    </row>
    <row r="1490" spans="1:3">
      <c r="A1490">
        <v>8040</v>
      </c>
      <c r="B1490" t="s">
        <v>1781</v>
      </c>
      <c r="C1490">
        <v>7.69</v>
      </c>
    </row>
    <row r="1491" spans="1:3">
      <c r="A1491">
        <v>8042</v>
      </c>
      <c r="B1491" t="s">
        <v>1782</v>
      </c>
      <c r="C1491">
        <v>35.549999999999997</v>
      </c>
    </row>
    <row r="1492" spans="1:3">
      <c r="A1492">
        <v>8043</v>
      </c>
      <c r="B1492" t="s">
        <v>1783</v>
      </c>
      <c r="C1492">
        <v>14.95</v>
      </c>
    </row>
    <row r="1493" spans="1:3">
      <c r="A1493">
        <v>8044</v>
      </c>
      <c r="B1493" t="s">
        <v>1784</v>
      </c>
      <c r="C1493">
        <v>312</v>
      </c>
    </row>
    <row r="1494" spans="1:3">
      <c r="A1494">
        <v>8047</v>
      </c>
      <c r="B1494" t="s">
        <v>1785</v>
      </c>
      <c r="C1494">
        <v>11.5</v>
      </c>
    </row>
    <row r="1495" spans="1:3">
      <c r="A1495">
        <v>8048</v>
      </c>
      <c r="B1495" t="s">
        <v>1786</v>
      </c>
      <c r="C1495">
        <v>47.95</v>
      </c>
    </row>
    <row r="1496" spans="1:3">
      <c r="A1496">
        <v>8049</v>
      </c>
      <c r="B1496" t="s">
        <v>1787</v>
      </c>
      <c r="C1496">
        <v>9.57</v>
      </c>
    </row>
    <row r="1497" spans="1:3">
      <c r="A1497">
        <v>8050</v>
      </c>
      <c r="B1497" t="s">
        <v>1788</v>
      </c>
      <c r="C1497">
        <v>54.8</v>
      </c>
    </row>
    <row r="1498" spans="1:3">
      <c r="A1498">
        <v>8053</v>
      </c>
      <c r="B1498" t="s">
        <v>1789</v>
      </c>
      <c r="C1498">
        <v>1.7</v>
      </c>
    </row>
    <row r="1499" spans="1:3">
      <c r="A1499">
        <v>8054</v>
      </c>
      <c r="B1499" t="s">
        <v>502</v>
      </c>
      <c r="C1499">
        <v>20.399999999999999</v>
      </c>
    </row>
    <row r="1500" spans="1:3">
      <c r="A1500">
        <v>8059</v>
      </c>
      <c r="B1500" t="s">
        <v>1790</v>
      </c>
      <c r="C1500">
        <v>11.1</v>
      </c>
    </row>
    <row r="1501" spans="1:3">
      <c r="A1501">
        <v>8064</v>
      </c>
      <c r="B1501" t="s">
        <v>503</v>
      </c>
      <c r="C1501">
        <v>11.4</v>
      </c>
    </row>
    <row r="1502" spans="1:3">
      <c r="A1502">
        <v>8066</v>
      </c>
      <c r="B1502" t="s">
        <v>1791</v>
      </c>
      <c r="C1502">
        <v>109</v>
      </c>
    </row>
    <row r="1503" spans="1:3">
      <c r="A1503">
        <v>8067</v>
      </c>
      <c r="B1503" t="s">
        <v>1792</v>
      </c>
      <c r="C1503">
        <v>4.9400000000000004</v>
      </c>
    </row>
    <row r="1504" spans="1:3">
      <c r="A1504">
        <v>8068</v>
      </c>
      <c r="B1504" t="s">
        <v>504</v>
      </c>
      <c r="C1504">
        <v>0</v>
      </c>
    </row>
    <row r="1505" spans="1:3">
      <c r="A1505">
        <v>8069</v>
      </c>
      <c r="B1505" t="s">
        <v>1793</v>
      </c>
      <c r="C1505">
        <v>16.25</v>
      </c>
    </row>
    <row r="1506" spans="1:3">
      <c r="A1506">
        <v>8071</v>
      </c>
      <c r="B1506" t="s">
        <v>505</v>
      </c>
      <c r="C1506">
        <v>12.8</v>
      </c>
    </row>
    <row r="1507" spans="1:3">
      <c r="A1507">
        <v>8074</v>
      </c>
      <c r="B1507" t="s">
        <v>1794</v>
      </c>
      <c r="C1507">
        <v>25.1</v>
      </c>
    </row>
    <row r="1508" spans="1:3">
      <c r="A1508">
        <v>8076</v>
      </c>
      <c r="B1508" t="s">
        <v>1795</v>
      </c>
      <c r="C1508">
        <v>95.5</v>
      </c>
    </row>
    <row r="1509" spans="1:3">
      <c r="A1509">
        <v>8077</v>
      </c>
      <c r="B1509" t="s">
        <v>1796</v>
      </c>
      <c r="C1509">
        <v>0</v>
      </c>
    </row>
    <row r="1510" spans="1:3">
      <c r="A1510">
        <v>8079</v>
      </c>
      <c r="B1510" t="s">
        <v>1797</v>
      </c>
      <c r="C1510">
        <v>12.6</v>
      </c>
    </row>
    <row r="1511" spans="1:3">
      <c r="A1511">
        <v>8080</v>
      </c>
      <c r="B1511" t="s">
        <v>506</v>
      </c>
      <c r="C1511">
        <v>14.25</v>
      </c>
    </row>
    <row r="1512" spans="1:3">
      <c r="A1512">
        <v>8082</v>
      </c>
      <c r="B1512" t="s">
        <v>507</v>
      </c>
      <c r="C1512">
        <v>2.38</v>
      </c>
    </row>
    <row r="1513" spans="1:3">
      <c r="A1513">
        <v>8083</v>
      </c>
      <c r="B1513" t="s">
        <v>508</v>
      </c>
      <c r="C1513">
        <v>135.5</v>
      </c>
    </row>
    <row r="1514" spans="1:3">
      <c r="A1514">
        <v>8084</v>
      </c>
      <c r="B1514" t="s">
        <v>1798</v>
      </c>
      <c r="C1514">
        <v>23</v>
      </c>
    </row>
    <row r="1515" spans="1:3">
      <c r="A1515">
        <v>8085</v>
      </c>
      <c r="B1515" t="s">
        <v>509</v>
      </c>
      <c r="C1515">
        <v>4.2300000000000004</v>
      </c>
    </row>
    <row r="1516" spans="1:3">
      <c r="A1516">
        <v>8086</v>
      </c>
      <c r="B1516" t="s">
        <v>1799</v>
      </c>
      <c r="C1516">
        <v>84.1</v>
      </c>
    </row>
    <row r="1517" spans="1:3">
      <c r="A1517">
        <v>8087</v>
      </c>
      <c r="B1517" t="s">
        <v>510</v>
      </c>
      <c r="C1517">
        <v>0</v>
      </c>
    </row>
    <row r="1518" spans="1:3">
      <c r="A1518">
        <v>8088</v>
      </c>
      <c r="B1518" t="s">
        <v>511</v>
      </c>
      <c r="C1518">
        <v>17.149999999999999</v>
      </c>
    </row>
    <row r="1519" spans="1:3">
      <c r="A1519">
        <v>8091</v>
      </c>
      <c r="B1519" t="s">
        <v>1800</v>
      </c>
      <c r="C1519">
        <v>65.599999999999994</v>
      </c>
    </row>
    <row r="1520" spans="1:3">
      <c r="A1520">
        <v>8092</v>
      </c>
      <c r="B1520" t="s">
        <v>1801</v>
      </c>
      <c r="C1520">
        <v>7.41</v>
      </c>
    </row>
    <row r="1521" spans="1:3">
      <c r="A1521">
        <v>8093</v>
      </c>
      <c r="B1521" t="s">
        <v>1802</v>
      </c>
      <c r="C1521">
        <v>5.75</v>
      </c>
    </row>
    <row r="1522" spans="1:3">
      <c r="A1522">
        <v>8096</v>
      </c>
      <c r="B1522" t="s">
        <v>1803</v>
      </c>
      <c r="C1522">
        <v>26.15</v>
      </c>
    </row>
    <row r="1523" spans="1:3">
      <c r="A1523">
        <v>8097</v>
      </c>
      <c r="B1523" t="s">
        <v>1804</v>
      </c>
      <c r="C1523">
        <v>11.9</v>
      </c>
    </row>
    <row r="1524" spans="1:3">
      <c r="A1524">
        <v>8099</v>
      </c>
      <c r="B1524" t="s">
        <v>1805</v>
      </c>
      <c r="C1524">
        <v>17.55</v>
      </c>
    </row>
    <row r="1525" spans="1:3">
      <c r="A1525">
        <v>8107</v>
      </c>
      <c r="B1525" t="s">
        <v>512</v>
      </c>
      <c r="C1525">
        <v>19.100000000000001</v>
      </c>
    </row>
    <row r="1526" spans="1:3">
      <c r="A1526">
        <v>8109</v>
      </c>
      <c r="B1526" t="s">
        <v>1806</v>
      </c>
      <c r="C1526">
        <v>63</v>
      </c>
    </row>
    <row r="1527" spans="1:3">
      <c r="A1527">
        <v>8111</v>
      </c>
      <c r="B1527" t="s">
        <v>1807</v>
      </c>
      <c r="C1527">
        <v>4.3899999999999997</v>
      </c>
    </row>
    <row r="1528" spans="1:3">
      <c r="A1528">
        <v>8121</v>
      </c>
      <c r="B1528" t="s">
        <v>1808</v>
      </c>
      <c r="C1528">
        <v>15.45</v>
      </c>
    </row>
    <row r="1529" spans="1:3">
      <c r="A1529">
        <v>8147</v>
      </c>
      <c r="B1529" t="s">
        <v>1809</v>
      </c>
      <c r="C1529">
        <v>49.5</v>
      </c>
    </row>
    <row r="1530" spans="1:3">
      <c r="A1530">
        <v>8155</v>
      </c>
      <c r="B1530" t="s">
        <v>1810</v>
      </c>
      <c r="C1530">
        <v>18.7</v>
      </c>
    </row>
    <row r="1531" spans="1:3">
      <c r="A1531">
        <v>8171</v>
      </c>
      <c r="B1531" t="s">
        <v>1811</v>
      </c>
      <c r="C1531">
        <v>9.9499999999999993</v>
      </c>
    </row>
    <row r="1532" spans="1:3">
      <c r="A1532">
        <v>8176</v>
      </c>
      <c r="B1532" t="s">
        <v>1812</v>
      </c>
      <c r="C1532">
        <v>8.9700000000000006</v>
      </c>
    </row>
    <row r="1533" spans="1:3">
      <c r="A1533">
        <v>8182</v>
      </c>
      <c r="B1533" t="s">
        <v>1813</v>
      </c>
      <c r="C1533">
        <v>12.8</v>
      </c>
    </row>
    <row r="1534" spans="1:3">
      <c r="A1534">
        <v>8183</v>
      </c>
      <c r="B1534" t="s">
        <v>1814</v>
      </c>
      <c r="C1534">
        <v>5.24</v>
      </c>
    </row>
    <row r="1535" spans="1:3">
      <c r="A1535">
        <v>8234</v>
      </c>
      <c r="B1535" t="s">
        <v>513</v>
      </c>
      <c r="C1535">
        <v>30.8</v>
      </c>
    </row>
    <row r="1536" spans="1:3">
      <c r="A1536">
        <v>8240</v>
      </c>
      <c r="B1536" t="s">
        <v>1815</v>
      </c>
      <c r="C1536">
        <v>20.05</v>
      </c>
    </row>
    <row r="1537" spans="1:3">
      <c r="A1537">
        <v>8255</v>
      </c>
      <c r="B1537" t="s">
        <v>1816</v>
      </c>
      <c r="C1537">
        <v>113</v>
      </c>
    </row>
    <row r="1538" spans="1:3">
      <c r="A1538">
        <v>8266</v>
      </c>
      <c r="B1538" t="s">
        <v>1817</v>
      </c>
      <c r="C1538">
        <v>33.5</v>
      </c>
    </row>
    <row r="1539" spans="1:3">
      <c r="A1539">
        <v>8277</v>
      </c>
      <c r="B1539" t="s">
        <v>1818</v>
      </c>
      <c r="C1539">
        <v>7.55</v>
      </c>
    </row>
    <row r="1540" spans="1:3">
      <c r="A1540">
        <v>8287</v>
      </c>
      <c r="B1540" t="s">
        <v>1819</v>
      </c>
      <c r="C1540">
        <v>16.600000000000001</v>
      </c>
    </row>
    <row r="1541" spans="1:3">
      <c r="A1541">
        <v>8289</v>
      </c>
      <c r="B1541" t="s">
        <v>1820</v>
      </c>
      <c r="C1541">
        <v>11.35</v>
      </c>
    </row>
    <row r="1542" spans="1:3">
      <c r="A1542">
        <v>8291</v>
      </c>
      <c r="B1542" t="s">
        <v>1821</v>
      </c>
      <c r="C1542">
        <v>5</v>
      </c>
    </row>
    <row r="1543" spans="1:3">
      <c r="A1543">
        <v>8299</v>
      </c>
      <c r="B1543" t="s">
        <v>1822</v>
      </c>
      <c r="C1543">
        <v>255</v>
      </c>
    </row>
    <row r="1544" spans="1:3">
      <c r="A1544">
        <v>8349</v>
      </c>
      <c r="B1544" t="s">
        <v>1823</v>
      </c>
      <c r="C1544">
        <v>81.099999999999994</v>
      </c>
    </row>
    <row r="1545" spans="1:3">
      <c r="A1545">
        <v>8354</v>
      </c>
      <c r="B1545" t="s">
        <v>1824</v>
      </c>
      <c r="C1545">
        <v>15.45</v>
      </c>
    </row>
    <row r="1546" spans="1:3">
      <c r="A1546">
        <v>8358</v>
      </c>
      <c r="B1546" t="s">
        <v>1825</v>
      </c>
      <c r="C1546">
        <v>8.6999999999999993</v>
      </c>
    </row>
    <row r="1547" spans="1:3">
      <c r="A1547">
        <v>8383</v>
      </c>
      <c r="B1547" t="s">
        <v>514</v>
      </c>
      <c r="C1547">
        <v>52.8</v>
      </c>
    </row>
    <row r="1548" spans="1:3">
      <c r="A1548">
        <v>8390</v>
      </c>
      <c r="B1548" t="s">
        <v>1826</v>
      </c>
      <c r="C1548">
        <v>15</v>
      </c>
    </row>
    <row r="1549" spans="1:3">
      <c r="A1549">
        <v>8401</v>
      </c>
      <c r="B1549" t="s">
        <v>1827</v>
      </c>
      <c r="C1549">
        <v>12</v>
      </c>
    </row>
    <row r="1550" spans="1:3">
      <c r="A1550">
        <v>8403</v>
      </c>
      <c r="B1550" t="s">
        <v>1828</v>
      </c>
      <c r="C1550">
        <v>48.8</v>
      </c>
    </row>
    <row r="1551" spans="1:3">
      <c r="A1551">
        <v>8406</v>
      </c>
      <c r="B1551" t="s">
        <v>1829</v>
      </c>
      <c r="C1551">
        <v>402.5</v>
      </c>
    </row>
    <row r="1552" spans="1:3">
      <c r="A1552">
        <v>8409</v>
      </c>
      <c r="B1552" t="s">
        <v>1830</v>
      </c>
      <c r="C1552">
        <v>31.5</v>
      </c>
    </row>
    <row r="1553" spans="1:3">
      <c r="A1553">
        <v>8410</v>
      </c>
      <c r="B1553" t="s">
        <v>515</v>
      </c>
      <c r="C1553">
        <v>21.3</v>
      </c>
    </row>
    <row r="1554" spans="1:3">
      <c r="A1554">
        <v>8416</v>
      </c>
      <c r="B1554" t="s">
        <v>516</v>
      </c>
      <c r="C1554">
        <v>100</v>
      </c>
    </row>
    <row r="1555" spans="1:3">
      <c r="A1555">
        <v>8418</v>
      </c>
      <c r="B1555" t="s">
        <v>1831</v>
      </c>
      <c r="C1555">
        <v>16.2</v>
      </c>
    </row>
    <row r="1556" spans="1:3">
      <c r="A1556">
        <v>8420</v>
      </c>
      <c r="B1556" t="s">
        <v>517</v>
      </c>
      <c r="C1556">
        <v>23.05</v>
      </c>
    </row>
    <row r="1557" spans="1:3">
      <c r="A1557">
        <v>8421</v>
      </c>
      <c r="B1557" t="s">
        <v>518</v>
      </c>
      <c r="C1557">
        <v>12.7</v>
      </c>
    </row>
    <row r="1558" spans="1:3">
      <c r="A1558">
        <v>8423</v>
      </c>
      <c r="B1558" t="s">
        <v>1832</v>
      </c>
      <c r="C1558">
        <v>24.4</v>
      </c>
    </row>
    <row r="1559" spans="1:3">
      <c r="A1559">
        <v>8424</v>
      </c>
      <c r="B1559" t="s">
        <v>519</v>
      </c>
      <c r="C1559">
        <v>38.5</v>
      </c>
    </row>
    <row r="1560" spans="1:3">
      <c r="A1560">
        <v>8426</v>
      </c>
      <c r="B1560" t="s">
        <v>1833</v>
      </c>
      <c r="C1560">
        <v>26.55</v>
      </c>
    </row>
    <row r="1561" spans="1:3">
      <c r="A1561">
        <v>8431</v>
      </c>
      <c r="B1561" t="s">
        <v>520</v>
      </c>
      <c r="C1561">
        <v>60.7</v>
      </c>
    </row>
    <row r="1562" spans="1:3">
      <c r="A1562">
        <v>8432</v>
      </c>
      <c r="B1562" t="s">
        <v>521</v>
      </c>
      <c r="C1562">
        <v>73.8</v>
      </c>
    </row>
    <row r="1563" spans="1:3">
      <c r="A1563">
        <v>8433</v>
      </c>
      <c r="B1563" t="s">
        <v>522</v>
      </c>
      <c r="C1563">
        <v>145</v>
      </c>
    </row>
    <row r="1564" spans="1:3">
      <c r="A1564">
        <v>8435</v>
      </c>
      <c r="B1564" t="s">
        <v>523</v>
      </c>
      <c r="C1564">
        <v>47.3</v>
      </c>
    </row>
    <row r="1565" spans="1:3">
      <c r="A1565">
        <v>8436</v>
      </c>
      <c r="B1565" t="s">
        <v>1834</v>
      </c>
      <c r="C1565">
        <v>103</v>
      </c>
    </row>
    <row r="1566" spans="1:3">
      <c r="A1566">
        <v>8437</v>
      </c>
      <c r="B1566" t="s">
        <v>1835</v>
      </c>
      <c r="C1566">
        <v>143</v>
      </c>
    </row>
    <row r="1567" spans="1:3">
      <c r="A1567">
        <v>8444</v>
      </c>
      <c r="B1567" t="s">
        <v>1894</v>
      </c>
      <c r="C1567">
        <v>71</v>
      </c>
    </row>
    <row r="1568" spans="1:3">
      <c r="A1568">
        <v>8446</v>
      </c>
      <c r="B1568" t="s">
        <v>1836</v>
      </c>
      <c r="C1568">
        <v>101</v>
      </c>
    </row>
    <row r="1569" spans="1:3">
      <c r="A1569">
        <v>8450</v>
      </c>
      <c r="B1569" t="s">
        <v>524</v>
      </c>
      <c r="C1569">
        <v>82.8</v>
      </c>
    </row>
    <row r="1570" spans="1:3">
      <c r="A1570">
        <v>8905</v>
      </c>
      <c r="B1570" t="s">
        <v>1837</v>
      </c>
      <c r="C1570">
        <v>14.8</v>
      </c>
    </row>
    <row r="1571" spans="1:3">
      <c r="A1571">
        <v>8906</v>
      </c>
      <c r="B1571" t="s">
        <v>1838</v>
      </c>
      <c r="C1571">
        <v>7.01</v>
      </c>
    </row>
    <row r="1572" spans="1:3">
      <c r="A1572">
        <v>8908</v>
      </c>
      <c r="B1572" t="s">
        <v>525</v>
      </c>
      <c r="C1572">
        <v>37.450000000000003</v>
      </c>
    </row>
    <row r="1573" spans="1:3">
      <c r="A1573">
        <v>8913</v>
      </c>
      <c r="B1573" t="s">
        <v>526</v>
      </c>
      <c r="C1573">
        <v>15.25</v>
      </c>
    </row>
    <row r="1574" spans="1:3">
      <c r="A1574">
        <v>8916</v>
      </c>
      <c r="B1574" t="s">
        <v>527</v>
      </c>
      <c r="C1574">
        <v>59.5</v>
      </c>
    </row>
    <row r="1575" spans="1:3">
      <c r="A1575">
        <v>8917</v>
      </c>
      <c r="B1575" t="s">
        <v>528</v>
      </c>
      <c r="C1575">
        <v>0</v>
      </c>
    </row>
    <row r="1576" spans="1:3">
      <c r="A1576">
        <v>8921</v>
      </c>
      <c r="B1576" t="s">
        <v>1839</v>
      </c>
      <c r="C1576">
        <v>0</v>
      </c>
    </row>
    <row r="1577" spans="1:3">
      <c r="A1577">
        <v>8923</v>
      </c>
      <c r="B1577" t="s">
        <v>1840</v>
      </c>
      <c r="C1577">
        <v>0</v>
      </c>
    </row>
    <row r="1578" spans="1:3">
      <c r="A1578">
        <v>8924</v>
      </c>
      <c r="B1578" t="s">
        <v>1841</v>
      </c>
      <c r="C1578">
        <v>19</v>
      </c>
    </row>
    <row r="1579" spans="1:3">
      <c r="A1579">
        <v>8927</v>
      </c>
      <c r="B1579" t="s">
        <v>529</v>
      </c>
      <c r="C1579">
        <v>9.83</v>
      </c>
    </row>
    <row r="1580" spans="1:3">
      <c r="A1580">
        <v>8928</v>
      </c>
      <c r="B1580" t="s">
        <v>530</v>
      </c>
      <c r="C1580">
        <v>41.1</v>
      </c>
    </row>
    <row r="1581" spans="1:3">
      <c r="A1581">
        <v>8929</v>
      </c>
      <c r="B1581" t="s">
        <v>531</v>
      </c>
      <c r="C1581">
        <v>23.3</v>
      </c>
    </row>
    <row r="1582" spans="1:3">
      <c r="A1582">
        <v>8930</v>
      </c>
      <c r="B1582" t="s">
        <v>532</v>
      </c>
      <c r="C1582">
        <v>9.0399999999999991</v>
      </c>
    </row>
    <row r="1583" spans="1:3">
      <c r="A1583">
        <v>8931</v>
      </c>
      <c r="B1583" t="s">
        <v>1843</v>
      </c>
      <c r="C1583">
        <v>20.350000000000001</v>
      </c>
    </row>
    <row r="1584" spans="1:3">
      <c r="A1584">
        <v>8932</v>
      </c>
      <c r="B1584" t="s">
        <v>1844</v>
      </c>
      <c r="C1584">
        <v>9.4</v>
      </c>
    </row>
    <row r="1585" spans="1:3">
      <c r="A1585">
        <v>8933</v>
      </c>
      <c r="B1585" t="s">
        <v>1845</v>
      </c>
      <c r="C1585">
        <v>17.75</v>
      </c>
    </row>
    <row r="1586" spans="1:3">
      <c r="A1586">
        <v>8934</v>
      </c>
      <c r="B1586" t="s">
        <v>1846</v>
      </c>
      <c r="C1586">
        <v>0</v>
      </c>
    </row>
    <row r="1587" spans="1:3">
      <c r="A1587">
        <v>8935</v>
      </c>
      <c r="B1587" t="s">
        <v>533</v>
      </c>
      <c r="C1587">
        <v>6.17</v>
      </c>
    </row>
    <row r="1588" spans="1:3">
      <c r="A1588">
        <v>8936</v>
      </c>
      <c r="B1588" t="s">
        <v>1847</v>
      </c>
      <c r="C1588">
        <v>38.799999999999997</v>
      </c>
    </row>
    <row r="1589" spans="1:3">
      <c r="A1589">
        <v>8937</v>
      </c>
      <c r="B1589" t="s">
        <v>1848</v>
      </c>
      <c r="C1589">
        <v>12.4</v>
      </c>
    </row>
    <row r="1590" spans="1:3">
      <c r="A1590">
        <v>8938</v>
      </c>
      <c r="B1590" t="s">
        <v>534</v>
      </c>
      <c r="C1590">
        <v>20.350000000000001</v>
      </c>
    </row>
    <row r="1591" spans="1:3">
      <c r="A1591">
        <v>8941</v>
      </c>
      <c r="B1591" t="s">
        <v>535</v>
      </c>
      <c r="C1591">
        <v>91</v>
      </c>
    </row>
    <row r="1592" spans="1:3">
      <c r="A1592">
        <v>8942</v>
      </c>
      <c r="B1592" t="s">
        <v>1849</v>
      </c>
      <c r="C1592">
        <v>92.2</v>
      </c>
    </row>
    <row r="1593" spans="1:3">
      <c r="A1593">
        <v>911613</v>
      </c>
      <c r="B1593" t="s">
        <v>1850</v>
      </c>
      <c r="C1593">
        <v>7.47</v>
      </c>
    </row>
    <row r="1594" spans="1:3">
      <c r="A1594">
        <v>9949</v>
      </c>
      <c r="B1594" t="s">
        <v>536</v>
      </c>
      <c r="C1594">
        <v>13.85</v>
      </c>
    </row>
    <row r="1595" spans="1:3">
      <c r="A1595">
        <v>9950</v>
      </c>
      <c r="B1595" t="s">
        <v>1851</v>
      </c>
      <c r="C1595">
        <v>20.399999999999999</v>
      </c>
    </row>
    <row r="1596" spans="1:3">
      <c r="A1596">
        <v>9951</v>
      </c>
      <c r="B1596" t="s">
        <v>1852</v>
      </c>
      <c r="C1596">
        <v>153.5</v>
      </c>
    </row>
    <row r="1597" spans="1:3">
      <c r="A1597">
        <v>9960</v>
      </c>
      <c r="B1597" t="s">
        <v>537</v>
      </c>
      <c r="C1597">
        <v>18.7</v>
      </c>
    </row>
    <row r="1598" spans="1:3">
      <c r="A1598">
        <v>9962</v>
      </c>
      <c r="B1598" t="s">
        <v>1853</v>
      </c>
      <c r="C1598">
        <v>7.5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55" zoomScaleNormal="55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.75" hidden="1" customWidth="1"/>
    <col min="15" max="22" width="7.625" customWidth="1"/>
    <col min="23" max="24" width="7.5" hidden="1" customWidth="1"/>
    <col min="25" max="26" width="0.5" customWidth="1"/>
    <col min="27" max="27" width="5.5" style="63" hidden="1" customWidth="1"/>
    <col min="28" max="28" width="18.875" customWidth="1"/>
    <col min="29" max="29" width="21.125" customWidth="1"/>
    <col min="30" max="30" width="14.5" customWidth="1"/>
  </cols>
  <sheetData>
    <row r="1" spans="1:31" ht="27.95" customHeight="1" thickBot="1">
      <c r="A1" s="300" t="s">
        <v>2377</v>
      </c>
      <c r="B1" s="301" t="s">
        <v>2382</v>
      </c>
      <c r="C1" s="302">
        <v>13</v>
      </c>
      <c r="D1" s="1"/>
      <c r="E1" s="1"/>
      <c r="F1" s="1"/>
      <c r="G1" s="13"/>
      <c r="H1" s="1"/>
      <c r="I1" s="1"/>
      <c r="J1" s="2"/>
      <c r="M1" s="8"/>
      <c r="N1" s="208"/>
      <c r="O1" s="367">
        <v>0</v>
      </c>
      <c r="P1" s="250">
        <v>1</v>
      </c>
      <c r="Q1" s="250">
        <v>0</v>
      </c>
      <c r="R1" s="250">
        <v>0</v>
      </c>
      <c r="S1" s="368">
        <v>0</v>
      </c>
      <c r="T1" s="369" t="str">
        <f>"    合計 " &amp; SUM(O1:S1) &amp; " 分    "</f>
        <v xml:space="preserve">    合計 1 分    </v>
      </c>
      <c r="U1" s="370"/>
      <c r="V1" s="371"/>
      <c r="W1" s="207"/>
      <c r="X1" s="207"/>
      <c r="Y1" s="206"/>
      <c r="Z1" s="8"/>
      <c r="AA1" s="211" t="s">
        <v>543</v>
      </c>
      <c r="AB1" s="74"/>
      <c r="AC1" s="74"/>
      <c r="AD1" s="75"/>
    </row>
    <row r="2" spans="1:31" ht="24" customHeight="1">
      <c r="A2" s="123"/>
      <c r="B2" s="251" t="s">
        <v>1882</v>
      </c>
      <c r="C2" s="124"/>
      <c r="D2" s="1"/>
      <c r="E2" s="124"/>
      <c r="F2" s="336" t="s">
        <v>1892</v>
      </c>
      <c r="G2" s="336"/>
      <c r="H2" s="336"/>
      <c r="I2" s="336"/>
      <c r="J2" s="125"/>
      <c r="K2" s="1"/>
      <c r="L2" s="1"/>
      <c r="M2" s="1"/>
      <c r="N2" s="250" t="s">
        <v>0</v>
      </c>
      <c r="O2" s="253" t="s">
        <v>1</v>
      </c>
      <c r="P2" s="254" t="s">
        <v>2</v>
      </c>
      <c r="Q2" s="254" t="s">
        <v>3</v>
      </c>
      <c r="R2" s="254" t="s">
        <v>4</v>
      </c>
      <c r="S2" s="254" t="s">
        <v>5</v>
      </c>
      <c r="T2" s="254" t="s">
        <v>6</v>
      </c>
      <c r="U2" s="254" t="s">
        <v>7</v>
      </c>
      <c r="V2" s="255" t="s">
        <v>8</v>
      </c>
      <c r="W2" s="343" t="s">
        <v>9</v>
      </c>
      <c r="X2" s="343"/>
      <c r="Y2" s="199"/>
      <c r="Z2" s="8"/>
      <c r="AA2" s="212">
        <v>1570</v>
      </c>
      <c r="AB2" s="156"/>
      <c r="AC2" s="157"/>
      <c r="AD2" s="158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209" t="s">
        <v>221</v>
      </c>
      <c r="O3" s="256">
        <f>VLOOKUP("營業收入淨額",$B$40:$L$500,9,0)</f>
        <v>148</v>
      </c>
      <c r="P3" s="257">
        <f>VLOOKUP("營業收入淨額",$B$40:$L$500,8,0)</f>
        <v>151</v>
      </c>
      <c r="Q3" s="257">
        <f>VLOOKUP("營業收入淨額",$B$40:$L$500,7,0)</f>
        <v>111</v>
      </c>
      <c r="R3" s="257">
        <f>VLOOKUP("營業收入淨額",$B$40:$L$500,6,0)</f>
        <v>175</v>
      </c>
      <c r="S3" s="257">
        <f>VLOOKUP("營業收入淨額",$B$40:$L$500,5,0)</f>
        <v>185</v>
      </c>
      <c r="T3" s="257">
        <f>VLOOKUP("營業收入淨額",$B$40:$L$500,4,0)</f>
        <v>190</v>
      </c>
      <c r="U3" s="257">
        <f>VLOOKUP("營業收入淨額",$B$40:$L$500,3,0)</f>
        <v>153</v>
      </c>
      <c r="V3" s="258">
        <f>VLOOKUP("營業收入淨額",$B$40:$L$500,2,0)</f>
        <v>182</v>
      </c>
      <c r="W3" s="199">
        <f>MAX(O3:V3)</f>
        <v>190</v>
      </c>
      <c r="X3" s="199"/>
      <c r="Y3" s="199"/>
      <c r="Z3" s="8"/>
      <c r="AA3" s="212">
        <v>2108</v>
      </c>
      <c r="AB3" s="159"/>
      <c r="AC3" s="71"/>
      <c r="AD3" s="130"/>
    </row>
    <row r="4" spans="1:31">
      <c r="A4" s="4"/>
      <c r="B4" s="218"/>
      <c r="C4" s="5"/>
      <c r="D4" s="8"/>
      <c r="E4" s="5"/>
      <c r="F4" s="331"/>
      <c r="G4" s="331"/>
      <c r="H4" s="331"/>
      <c r="I4" s="331"/>
      <c r="J4" s="6"/>
      <c r="K4" s="8"/>
      <c r="L4" s="8"/>
      <c r="M4" s="8"/>
      <c r="N4" s="209" t="s">
        <v>11</v>
      </c>
      <c r="O4" s="256">
        <f>VLOOKUP("營業成本",$B$40:$L$500,9,0)</f>
        <v>111</v>
      </c>
      <c r="P4" s="257">
        <f>VLOOKUP("營業成本",$B$40:$L$500,8,0)</f>
        <v>117</v>
      </c>
      <c r="Q4" s="257">
        <f>VLOOKUP("營業成本",$B$40:$L$500,7,0)</f>
        <v>88</v>
      </c>
      <c r="R4" s="257">
        <f>VLOOKUP("營業成本",$B$40:$L$500,6,0)</f>
        <v>132</v>
      </c>
      <c r="S4" s="257">
        <f>VLOOKUP("營業成本",$B$40:$L$500,5,0)</f>
        <v>138</v>
      </c>
      <c r="T4" s="257">
        <f>VLOOKUP("營業成本",$B$40:$L$500,4,0)</f>
        <v>137</v>
      </c>
      <c r="U4" s="257">
        <f>VLOOKUP("營業成本",$B$40:$L$500,3,0)</f>
        <v>125</v>
      </c>
      <c r="V4" s="258">
        <f>VLOOKUP("營業成本",$B$40:$L$500,2,0)</f>
        <v>140</v>
      </c>
      <c r="W4" s="199"/>
      <c r="X4" s="199"/>
      <c r="Y4" s="199"/>
      <c r="Z4" s="8"/>
      <c r="AA4" s="212">
        <v>2313</v>
      </c>
      <c r="AB4" s="159"/>
      <c r="AC4" s="71"/>
      <c r="AD4" s="130"/>
      <c r="AE4" s="69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209" t="s">
        <v>223</v>
      </c>
      <c r="O5" s="256">
        <f>VLOOKUP("營業利益",$B$40:$L$500,9,0)</f>
        <v>24</v>
      </c>
      <c r="P5" s="257">
        <f>VLOOKUP("營業利益",$B$40:$L$500,8,0)</f>
        <v>16</v>
      </c>
      <c r="Q5" s="257">
        <f>VLOOKUP("營業利益",$B$40:$L$500,7,0)</f>
        <v>3</v>
      </c>
      <c r="R5" s="257">
        <f>VLOOKUP("營業利益",$B$40:$L$500,6,0)</f>
        <v>24</v>
      </c>
      <c r="S5" s="257">
        <f>VLOOKUP("營業利益",$B$40:$L$500,5,0)</f>
        <v>28</v>
      </c>
      <c r="T5" s="257">
        <f>VLOOKUP("營業利益",$B$40:$L$500,4,0)</f>
        <v>34</v>
      </c>
      <c r="U5" s="257">
        <f>VLOOKUP("營業利益",$B$40:$L$500,3,0)</f>
        <v>6</v>
      </c>
      <c r="V5" s="258">
        <f>VLOOKUP("營業利益",$B$40:$L$500,2,0)</f>
        <v>24</v>
      </c>
      <c r="W5" s="199"/>
      <c r="X5" s="199"/>
      <c r="Y5" s="199"/>
      <c r="Z5" s="8"/>
      <c r="AA5" s="213">
        <v>2329</v>
      </c>
      <c r="AB5" s="159"/>
      <c r="AC5" s="72"/>
      <c r="AD5" s="130"/>
    </row>
    <row r="6" spans="1:31">
      <c r="A6" s="4"/>
      <c r="B6" s="218"/>
      <c r="C6" s="5"/>
      <c r="D6" s="8"/>
      <c r="E6" s="5"/>
      <c r="F6" s="331"/>
      <c r="G6" s="331"/>
      <c r="H6" s="331"/>
      <c r="I6" s="331"/>
      <c r="J6" s="6"/>
      <c r="K6" s="8"/>
      <c r="L6" s="8"/>
      <c r="M6" s="8"/>
      <c r="N6" s="209" t="s">
        <v>12</v>
      </c>
      <c r="O6" s="256">
        <f>VLOOKUP("營業外收入合計",$B$40:$L$500,9,0)</f>
        <v>-2</v>
      </c>
      <c r="P6" s="257">
        <f>VLOOKUP("營業外收入合計",$B$40:$L$500,8,0)</f>
        <v>5</v>
      </c>
      <c r="Q6" s="257">
        <f>VLOOKUP("營業外收入合計",$B$40:$L$500,7,0)</f>
        <v>4</v>
      </c>
      <c r="R6" s="257">
        <f>VLOOKUP("營業外收入合計",$B$40:$L$500,6,0)</f>
        <v>1</v>
      </c>
      <c r="S6" s="257">
        <f>VLOOKUP("營業外收入合計",$B$40:$L$500,5,0)</f>
        <v>1</v>
      </c>
      <c r="T6" s="257">
        <f>VLOOKUP("營業外收入合計",$B$40:$L$500,4,0)</f>
        <v>10</v>
      </c>
      <c r="U6" s="257">
        <f>VLOOKUP("營業外收入合計",$B$40:$L$500,3,0)</f>
        <v>1</v>
      </c>
      <c r="V6" s="258">
        <f>VLOOKUP("營業外收入合計",$B$40:$L$500,2,0)</f>
        <v>5</v>
      </c>
      <c r="W6" s="199"/>
      <c r="X6" s="199"/>
      <c r="Y6" s="199"/>
      <c r="Z6" s="8"/>
      <c r="AA6" s="212">
        <v>2344</v>
      </c>
      <c r="AB6" s="160"/>
      <c r="AC6" s="72"/>
      <c r="AD6" s="13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209" t="s">
        <v>202</v>
      </c>
      <c r="O7" s="256">
        <f>VLOOKUP("稅前淨利",$B$40:$L$500,9,0)</f>
        <v>22</v>
      </c>
      <c r="P7" s="257">
        <f>VLOOKUP("稅前淨利",$B$40:$L$500,8,0)</f>
        <v>21</v>
      </c>
      <c r="Q7" s="257">
        <f>VLOOKUP("稅前淨利",$B$40:$L$500,7,0)</f>
        <v>7</v>
      </c>
      <c r="R7" s="257">
        <f>VLOOKUP("稅前淨利",$B$40:$L$500,6,0)</f>
        <v>23</v>
      </c>
      <c r="S7" s="257">
        <f>VLOOKUP("稅前淨利",$B$40:$L$500,5,0)</f>
        <v>25</v>
      </c>
      <c r="T7" s="257">
        <f>VLOOKUP("稅前淨利",$B$40:$L$500,4,0)</f>
        <v>49</v>
      </c>
      <c r="U7" s="257">
        <f>VLOOKUP("稅前淨利",$B$40:$L$500,3,0)</f>
        <v>6</v>
      </c>
      <c r="V7" s="258">
        <f>VLOOKUP("稅前淨利",$B$40:$L$500,2,0)</f>
        <v>23</v>
      </c>
      <c r="W7" s="199"/>
      <c r="X7" s="199"/>
      <c r="Y7" s="199"/>
      <c r="Z7" s="8"/>
      <c r="AA7" s="212">
        <v>2397</v>
      </c>
      <c r="AB7" s="159"/>
      <c r="AC7" s="72"/>
      <c r="AD7" s="130"/>
    </row>
    <row r="8" spans="1:31">
      <c r="A8" s="4"/>
      <c r="B8" s="218"/>
      <c r="C8" s="5"/>
      <c r="D8" s="8"/>
      <c r="E8" s="5"/>
      <c r="F8" s="331"/>
      <c r="G8" s="331"/>
      <c r="H8" s="331"/>
      <c r="I8" s="331"/>
      <c r="J8" s="6"/>
      <c r="K8" s="8"/>
      <c r="L8" s="8"/>
      <c r="M8" s="8"/>
      <c r="N8" s="209" t="s">
        <v>13</v>
      </c>
      <c r="O8" s="256">
        <f>VLOOKUP("本期稅後淨利",$B$40:$L$500,9,0)</f>
        <v>38</v>
      </c>
      <c r="P8" s="257">
        <f>VLOOKUP("本期稅後淨利",$B$40:$L$500,8,0)</f>
        <v>17</v>
      </c>
      <c r="Q8" s="257">
        <f>VLOOKUP("本期稅後淨利",$B$40:$L$500,7,0)</f>
        <v>6</v>
      </c>
      <c r="R8" s="257">
        <f>VLOOKUP("本期稅後淨利",$B$40:$L$500,6,0)</f>
        <v>20</v>
      </c>
      <c r="S8" s="257">
        <f>VLOOKUP("本期稅後淨利",$B$40:$L$500,5,0)</f>
        <v>20</v>
      </c>
      <c r="T8" s="257">
        <f>VLOOKUP("本期稅後淨利",$B$40:$L$500,4,0)</f>
        <v>41</v>
      </c>
      <c r="U8" s="257">
        <f>VLOOKUP("本期稅後淨利",$B$40:$L$500,3,0)</f>
        <v>5</v>
      </c>
      <c r="V8" s="258">
        <f>VLOOKUP("本期稅後淨利",$B$40:$L$500,2,0)</f>
        <v>15</v>
      </c>
      <c r="W8" s="199"/>
      <c r="X8" s="199"/>
      <c r="Y8" s="199"/>
      <c r="Z8" s="8"/>
      <c r="AA8" s="212">
        <v>2433</v>
      </c>
      <c r="AB8" s="159"/>
      <c r="AC8" s="71"/>
      <c r="AD8" s="13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209" t="s">
        <v>14</v>
      </c>
      <c r="O9" s="256">
        <f>VLOOKUP("每股盈餘 (元)",$B$40:$L$500,9,0)</f>
        <v>0.73</v>
      </c>
      <c r="P9" s="257">
        <f>VLOOKUP("每股盈餘 (元)",$B$40:$L$500,8,0)</f>
        <v>0.34</v>
      </c>
      <c r="Q9" s="257">
        <f>VLOOKUP("每股盈餘 (元)",$B$40:$L$500,7,0)</f>
        <v>0.12</v>
      </c>
      <c r="R9" s="257">
        <f>VLOOKUP("每股盈餘 (元)",$B$40:$L$500,6,0)</f>
        <v>0.38</v>
      </c>
      <c r="S9" s="257">
        <f>VLOOKUP("每股盈餘 (元)",$B$40:$L$500,5,0)</f>
        <v>0.4</v>
      </c>
      <c r="T9" s="257">
        <f>VLOOKUP("每股盈餘 (元)",$B$40:$L$500,4,0)</f>
        <v>0.8</v>
      </c>
      <c r="U9" s="257">
        <f>VLOOKUP("每股盈餘 (元)",$B$40:$L$500,3,0)</f>
        <v>0.1</v>
      </c>
      <c r="V9" s="258">
        <f>VLOOKUP("每股盈餘 (元)",$B$40:$L$500,2,0)</f>
        <v>0.28000000000000003</v>
      </c>
      <c r="W9" s="199">
        <f>MAX(R9:V9)</f>
        <v>0.8</v>
      </c>
      <c r="X9" s="199"/>
      <c r="Y9" s="199"/>
      <c r="Z9" s="8"/>
      <c r="AA9" s="212">
        <v>2637</v>
      </c>
      <c r="AB9" s="159"/>
      <c r="AC9" s="73"/>
      <c r="AD9" s="131"/>
    </row>
    <row r="10" spans="1:31">
      <c r="A10" s="4"/>
      <c r="B10" s="218"/>
      <c r="C10" s="5"/>
      <c r="D10" s="8"/>
      <c r="E10" s="5"/>
      <c r="F10" s="331"/>
      <c r="G10" s="331"/>
      <c r="H10" s="331"/>
      <c r="I10" s="331"/>
      <c r="J10" s="6"/>
      <c r="K10" s="8"/>
      <c r="L10" s="8"/>
      <c r="M10" s="8"/>
      <c r="N10" s="209" t="s">
        <v>222</v>
      </c>
      <c r="O10" s="256">
        <f>VLOOKUP(" 應收帳款及票據",$B$40:$L$500,9,0)</f>
        <v>118</v>
      </c>
      <c r="P10" s="257">
        <f>VLOOKUP(" 應收帳款及票據",$B$40:$L$500,8,0)</f>
        <v>124</v>
      </c>
      <c r="Q10" s="257">
        <f>VLOOKUP(" 應收帳款及票據",$B$40:$L$500,7,0)</f>
        <v>104</v>
      </c>
      <c r="R10" s="257">
        <f>VLOOKUP(" 應收帳款及票據",$B$40:$L$500,6,0)</f>
        <v>146</v>
      </c>
      <c r="S10" s="257">
        <f>VLOOKUP(" 應收帳款及票據",$B$40:$L$500,5,0)</f>
        <v>159</v>
      </c>
      <c r="T10" s="257">
        <f>VLOOKUP(" 應收帳款及票據",$B$40:$L$500,4,0)</f>
        <v>147</v>
      </c>
      <c r="U10" s="257">
        <f>VLOOKUP(" 應收帳款及票據",$B$40:$L$500,3,0)</f>
        <v>124</v>
      </c>
      <c r="V10" s="258">
        <f>VLOOKUP(" 應收帳款及票據",$B$40:$L$500,2,0)</f>
        <v>169</v>
      </c>
      <c r="W10" s="199"/>
      <c r="X10" s="199"/>
      <c r="Y10" s="199"/>
      <c r="Z10" s="8"/>
      <c r="AA10" s="212">
        <v>3023</v>
      </c>
      <c r="AB10" s="159"/>
      <c r="AC10" s="73"/>
      <c r="AD10" s="130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209" t="s">
        <v>15</v>
      </c>
      <c r="O11" s="256">
        <f>VLOOKUP(" 存貨",$B$40:$L$500,9,0)</f>
        <v>159</v>
      </c>
      <c r="P11" s="257">
        <f>VLOOKUP(" 存貨",$B$40:$L$500,8,0)</f>
        <v>164</v>
      </c>
      <c r="Q11" s="257">
        <f>VLOOKUP(" 存貨",$B$40:$L$500,7,0)</f>
        <v>150</v>
      </c>
      <c r="R11" s="257">
        <f>VLOOKUP(" 存貨",$B$40:$L$500,6,0)</f>
        <v>150</v>
      </c>
      <c r="S11" s="257">
        <f>VLOOKUP(" 存貨",$B$40:$L$500,5,0)</f>
        <v>141</v>
      </c>
      <c r="T11" s="257">
        <f>VLOOKUP(" 存貨",$B$40:$L$500,4,0)</f>
        <v>141</v>
      </c>
      <c r="U11" s="257">
        <f>VLOOKUP(" 存貨",$B$40:$L$500,3,0)</f>
        <v>140</v>
      </c>
      <c r="V11" s="258">
        <f>VLOOKUP(" 存貨",$B$40:$L$500,2,0)</f>
        <v>215</v>
      </c>
      <c r="W11" s="199"/>
      <c r="X11" s="199"/>
      <c r="Y11" s="199"/>
      <c r="Z11" s="8"/>
      <c r="AA11" s="212">
        <v>3499</v>
      </c>
      <c r="AB11" s="159"/>
      <c r="AC11" s="73"/>
      <c r="AD11" s="13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209" t="s">
        <v>16</v>
      </c>
      <c r="O12" s="256">
        <f>VLOOKUP(" 應付帳款及票據",$B$40:$L$500,9,0)</f>
        <v>114</v>
      </c>
      <c r="P12" s="257">
        <f>VLOOKUP(" 應付帳款及票據",$B$40:$L$500,8,0)</f>
        <v>113</v>
      </c>
      <c r="Q12" s="257">
        <f>VLOOKUP(" 應付帳款及票據",$B$40:$L$500,7,0)</f>
        <v>79</v>
      </c>
      <c r="R12" s="257">
        <f>VLOOKUP(" 應付帳款及票據",$B$40:$L$500,6,0)</f>
        <v>118</v>
      </c>
      <c r="S12" s="257">
        <f>VLOOKUP(" 應付帳款及票據",$B$40:$L$500,5,0)</f>
        <v>133</v>
      </c>
      <c r="T12" s="257">
        <f>VLOOKUP(" 應付帳款及票據",$B$40:$L$500,4,0)</f>
        <v>132</v>
      </c>
      <c r="U12" s="257">
        <f>VLOOKUP(" 應付帳款及票據",$B$40:$L$500,3,0)</f>
        <v>115</v>
      </c>
      <c r="V12" s="258">
        <f>VLOOKUP(" 應付帳款及票據",$B$40:$L$500,2,0)</f>
        <v>200</v>
      </c>
      <c r="W12" s="199"/>
      <c r="X12" s="199"/>
      <c r="Y12" s="199"/>
      <c r="Z12" s="8"/>
      <c r="AA12" s="212">
        <v>4935</v>
      </c>
      <c r="AB12" s="161"/>
      <c r="AC12" s="162"/>
      <c r="AD12" s="163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209" t="s">
        <v>17</v>
      </c>
      <c r="O13" s="256">
        <f>VLOOKUP("負債總額",$B$40:$L$500,9,0)</f>
        <v>149</v>
      </c>
      <c r="P13" s="257">
        <f>VLOOKUP("負債總額",$B$40:$L$500,8,0)</f>
        <v>151</v>
      </c>
      <c r="Q13" s="257">
        <f>VLOOKUP("負債總額",$B$40:$L$500,7,0)</f>
        <v>124</v>
      </c>
      <c r="R13" s="257">
        <f>VLOOKUP("負債總額",$B$40:$L$500,6,0)</f>
        <v>160</v>
      </c>
      <c r="S13" s="257">
        <f>VLOOKUP("負債總額",$B$40:$L$500,5,0)</f>
        <v>169</v>
      </c>
      <c r="T13" s="257">
        <f>VLOOKUP("負債總額",$B$40:$L$500,4,0)</f>
        <v>176</v>
      </c>
      <c r="U13" s="257">
        <f>VLOOKUP("負債總額",$B$40:$L$500,3,0)</f>
        <v>171</v>
      </c>
      <c r="V13" s="258">
        <f>VLOOKUP("負債總額",$B$40:$L$500,2,0)</f>
        <v>256</v>
      </c>
      <c r="W13" s="199"/>
      <c r="X13" s="199"/>
      <c r="Y13" s="199"/>
      <c r="Z13" s="8"/>
      <c r="AA13" s="212"/>
      <c r="AB13" s="154"/>
      <c r="AC13" s="155"/>
      <c r="AD13" s="154"/>
    </row>
    <row r="14" spans="1:31" ht="24" customHeight="1">
      <c r="A14" s="40"/>
      <c r="B14" s="145" t="s">
        <v>1889</v>
      </c>
      <c r="C14" s="41"/>
      <c r="D14" s="8"/>
      <c r="E14" s="41"/>
      <c r="F14" s="337" t="s">
        <v>1891</v>
      </c>
      <c r="G14" s="337"/>
      <c r="H14" s="337"/>
      <c r="I14" s="337"/>
      <c r="J14" s="42"/>
      <c r="K14" s="8"/>
      <c r="L14" s="8"/>
      <c r="M14" s="8"/>
      <c r="N14" s="209" t="s">
        <v>18</v>
      </c>
      <c r="O14" s="256">
        <f>VLOOKUP("資產總額",$B$40:$L$500,9,0)</f>
        <v>649</v>
      </c>
      <c r="P14" s="257">
        <f>VLOOKUP("資產總額",$B$40:$L$500,8,0)</f>
        <v>668</v>
      </c>
      <c r="Q14" s="257">
        <f>VLOOKUP("資產總額",$B$40:$L$500,7,0)</f>
        <v>648</v>
      </c>
      <c r="R14" s="257">
        <f>VLOOKUP("資產總額",$B$40:$L$500,6,0)</f>
        <v>704</v>
      </c>
      <c r="S14" s="257">
        <f>VLOOKUP("資產總額",$B$40:$L$500,5,0)</f>
        <v>733</v>
      </c>
      <c r="T14" s="257">
        <f>VLOOKUP("資產總額",$B$40:$L$500,4,0)</f>
        <v>782</v>
      </c>
      <c r="U14" s="257">
        <f>VLOOKUP("資產總額",$B$40:$L$500,3,0)</f>
        <v>781</v>
      </c>
      <c r="V14" s="258">
        <f>VLOOKUP("資產總額",$B$40:$L$500,2,0)</f>
        <v>879</v>
      </c>
      <c r="W14" s="199"/>
      <c r="X14" s="199"/>
      <c r="Y14" s="199"/>
      <c r="Z14" s="8"/>
      <c r="AA14" s="212">
        <v>8049</v>
      </c>
      <c r="AB14" s="164"/>
      <c r="AC14" s="192"/>
      <c r="AD14" s="165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209" t="s">
        <v>19</v>
      </c>
      <c r="O15" s="256">
        <f>VLOOKUP("來自營運之現金流量",$B$40:$L$500,9,0)</f>
        <v>2</v>
      </c>
      <c r="P15" s="257">
        <f>VLOOKUP("來自營運之現金流量",$B$40:$L$500,8,0)</f>
        <v>18</v>
      </c>
      <c r="Q15" s="257">
        <f>VLOOKUP("來自營運之現金流量",$B$40:$L$500,7,0)</f>
        <v>18</v>
      </c>
      <c r="R15" s="257">
        <f>VLOOKUP("來自營運之現金流量",$B$40:$L$500,6,0)</f>
        <v>23</v>
      </c>
      <c r="S15" s="257">
        <f>VLOOKUP("來自營運之現金流量",$B$40:$L$500,5,0)</f>
        <v>32</v>
      </c>
      <c r="T15" s="257">
        <f>VLOOKUP("來自營運之現金流量",$B$40:$L$500,4,0)</f>
        <v>68</v>
      </c>
      <c r="U15" s="257">
        <f>VLOOKUP("來自營運之現金流量",$B$40:$L$500,3,0)</f>
        <v>31</v>
      </c>
      <c r="V15" s="258">
        <f>VLOOKUP("來自營運之現金流量",$B$40:$L$500,2,0)</f>
        <v>-17</v>
      </c>
      <c r="W15" s="201">
        <f>AVERAGE(R15:V15)</f>
        <v>27.4</v>
      </c>
      <c r="X15" s="201">
        <f>AVERAGE(U15:V15)</f>
        <v>7</v>
      </c>
      <c r="Y15" s="199"/>
      <c r="Z15" s="8"/>
      <c r="AA15" s="212">
        <v>2345</v>
      </c>
      <c r="AB15" s="166"/>
      <c r="AC15" s="191"/>
      <c r="AD15" s="167"/>
    </row>
    <row r="16" spans="1:31">
      <c r="A16" s="4"/>
      <c r="B16" s="218"/>
      <c r="C16" s="5"/>
      <c r="D16" s="8"/>
      <c r="E16" s="5"/>
      <c r="F16" s="331"/>
      <c r="G16" s="331"/>
      <c r="H16" s="331"/>
      <c r="I16" s="331"/>
      <c r="J16" s="6"/>
      <c r="K16" s="8"/>
      <c r="L16" s="8"/>
      <c r="M16" s="8"/>
      <c r="N16" s="209" t="s">
        <v>20</v>
      </c>
      <c r="O16" s="256">
        <v>7</v>
      </c>
      <c r="P16" s="257">
        <v>6</v>
      </c>
      <c r="Q16" s="257">
        <v>8</v>
      </c>
      <c r="R16" s="257">
        <v>4</v>
      </c>
      <c r="S16" s="257">
        <v>4</v>
      </c>
      <c r="T16" s="257">
        <v>3</v>
      </c>
      <c r="U16" s="257">
        <v>25</v>
      </c>
      <c r="V16" s="258">
        <v>3</v>
      </c>
      <c r="W16" s="201">
        <f>MAX(O16:V16)</f>
        <v>25</v>
      </c>
      <c r="X16" s="201">
        <f>AVERAGE(U16:V16)</f>
        <v>14</v>
      </c>
      <c r="Y16" s="199"/>
      <c r="Z16" s="8"/>
      <c r="AA16" s="212">
        <v>5536</v>
      </c>
      <c r="AB16" s="166"/>
      <c r="AC16" s="169"/>
      <c r="AD16" s="167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209" t="s">
        <v>21</v>
      </c>
      <c r="O17" s="256">
        <v>0</v>
      </c>
      <c r="P17" s="257">
        <v>0</v>
      </c>
      <c r="Q17" s="257">
        <v>0</v>
      </c>
      <c r="R17" s="257">
        <v>0</v>
      </c>
      <c r="S17" s="257">
        <v>0</v>
      </c>
      <c r="T17" s="257">
        <v>0</v>
      </c>
      <c r="U17" s="257">
        <v>0</v>
      </c>
      <c r="V17" s="258">
        <v>0</v>
      </c>
      <c r="W17" s="199"/>
      <c r="X17" s="199"/>
      <c r="Y17" s="199"/>
      <c r="Z17" s="8"/>
      <c r="AA17" s="212">
        <v>2329</v>
      </c>
      <c r="AB17" s="170"/>
      <c r="AC17" s="171"/>
      <c r="AD17" s="168"/>
    </row>
    <row r="18" spans="1:30">
      <c r="A18" s="4"/>
      <c r="B18" s="218"/>
      <c r="C18" s="5"/>
      <c r="D18" s="8"/>
      <c r="E18" s="5"/>
      <c r="F18" s="331"/>
      <c r="G18" s="331"/>
      <c r="H18" s="331"/>
      <c r="I18" s="331"/>
      <c r="J18" s="6"/>
      <c r="K18" s="8"/>
      <c r="L18" s="8"/>
      <c r="M18" s="8"/>
      <c r="N18" s="209" t="s">
        <v>22</v>
      </c>
      <c r="O18" s="256">
        <f>VLOOKUP(" 折舊",$B$40:$L$500,9,0)</f>
        <v>4</v>
      </c>
      <c r="P18" s="257">
        <f>VLOOKUP(" 折舊",$B$40:$L$500,8,0)</f>
        <v>4</v>
      </c>
      <c r="Q18" s="257">
        <f>VLOOKUP(" 折舊",$B$40:$L$500,7,0)</f>
        <v>5</v>
      </c>
      <c r="R18" s="257">
        <f>VLOOKUP(" 折舊",$B$40:$L$500,6,0)</f>
        <v>5</v>
      </c>
      <c r="S18" s="257">
        <f>VLOOKUP(" 折舊",$B$40:$L$500,5,0)</f>
        <v>5</v>
      </c>
      <c r="T18" s="257">
        <f>VLOOKUP(" 折舊",$B$40:$L$500,4,0)</f>
        <v>5</v>
      </c>
      <c r="U18" s="257">
        <f>VLOOKUP(" 折舊",$B$40:$L$500,3,0)</f>
        <v>5</v>
      </c>
      <c r="V18" s="258">
        <f>VLOOKUP(" 折舊",$B$40:$L$500,2,0)</f>
        <v>7</v>
      </c>
      <c r="W18" s="199"/>
      <c r="X18" s="199"/>
      <c r="Y18" s="199"/>
      <c r="Z18" s="8"/>
      <c r="AA18" s="212">
        <v>3511</v>
      </c>
      <c r="AB18" s="198"/>
      <c r="AC18" s="215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209" t="s">
        <v>23</v>
      </c>
      <c r="O19" s="259">
        <f>VLOOKUP(" 攤提",$B$40:$L$500,9,0)</f>
        <v>0</v>
      </c>
      <c r="P19" s="260">
        <f>VLOOKUP(" 攤提",$B$40:$L$500,8,0)</f>
        <v>0</v>
      </c>
      <c r="Q19" s="260">
        <f>VLOOKUP(" 攤提",$B$40:$L$500,7,0)</f>
        <v>0</v>
      </c>
      <c r="R19" s="260">
        <f>VLOOKUP(" 攤提",$B$40:$L$500,6,0)</f>
        <v>0</v>
      </c>
      <c r="S19" s="260">
        <f>VLOOKUP(" 攤提",$B$40:$L$500,5,0)</f>
        <v>0</v>
      </c>
      <c r="T19" s="260">
        <f>VLOOKUP(" 攤提",$B$40:$L$500,4,0)</f>
        <v>0</v>
      </c>
      <c r="U19" s="260">
        <f>VLOOKUP(" 攤提",$B$40:$L$500,3,0)</f>
        <v>0</v>
      </c>
      <c r="V19" s="261">
        <f>VLOOKUP(" 攤提",$B$40:$L$500,2,0)</f>
        <v>0</v>
      </c>
      <c r="W19" s="199"/>
      <c r="X19" s="199"/>
      <c r="Y19" s="199"/>
      <c r="Z19" s="8"/>
      <c r="AA19" s="212"/>
      <c r="AB19" s="7"/>
      <c r="AC19" s="116"/>
      <c r="AD19" s="9"/>
    </row>
    <row r="20" spans="1:30">
      <c r="A20" s="4"/>
      <c r="B20" s="218"/>
      <c r="C20" s="5"/>
      <c r="D20" s="8"/>
      <c r="E20" s="5"/>
      <c r="F20" s="331"/>
      <c r="G20" s="331"/>
      <c r="H20" s="331"/>
      <c r="I20" s="331"/>
      <c r="J20" s="6"/>
      <c r="K20" s="8"/>
      <c r="L20" s="8"/>
      <c r="M20" s="8"/>
      <c r="N20" s="209" t="s">
        <v>24</v>
      </c>
      <c r="O20" s="262">
        <f>VLOOKUP("股東權益總額",$B$40:$L$500,9,0)</f>
        <v>500</v>
      </c>
      <c r="P20" s="263">
        <f>VLOOKUP("股東權益總額",$B$40:$L$500,8,0)</f>
        <v>517</v>
      </c>
      <c r="Q20" s="263">
        <f>VLOOKUP("股東權益總額",$B$40:$L$500,7,0)</f>
        <v>525</v>
      </c>
      <c r="R20" s="263">
        <f>VLOOKUP("股東權益總額",$B$40:$L$500,6,0)</f>
        <v>544</v>
      </c>
      <c r="S20" s="263">
        <f>VLOOKUP("股東權益總額",$B$40:$L$500,5,0)</f>
        <v>564</v>
      </c>
      <c r="T20" s="263">
        <f>VLOOKUP("股東權益總額",$B$40:$L$500,4,0)</f>
        <v>606</v>
      </c>
      <c r="U20" s="263">
        <f>VLOOKUP("股東權益總額",$B$40:$L$500,3,0)</f>
        <v>609</v>
      </c>
      <c r="V20" s="264">
        <f>VLOOKUP("股東權益總額",$B$40:$L$500,2,0)</f>
        <v>624</v>
      </c>
      <c r="W20" s="199"/>
      <c r="X20" s="199"/>
      <c r="Y20" s="199"/>
      <c r="Z20" s="8"/>
      <c r="AA20" s="212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210" t="s">
        <v>195</v>
      </c>
      <c r="O21" s="265">
        <f>VLOOKUP(" 普通股股本",$B$40:$L$500,9,0)</f>
        <v>515</v>
      </c>
      <c r="P21" s="266">
        <f>VLOOKUP(" 普通股股本",$B$40:$L$500,8,0)</f>
        <v>515</v>
      </c>
      <c r="Q21" s="266">
        <f>VLOOKUP(" 普通股股本",$B$40:$L$500,7,0)</f>
        <v>515</v>
      </c>
      <c r="R21" s="266">
        <f>VLOOKUP(" 普通股股本",$B$40:$L$500,6,0)</f>
        <v>515</v>
      </c>
      <c r="S21" s="266">
        <f>VLOOKUP(" 普通股股本",$B$40:$L$500,5,0)</f>
        <v>515</v>
      </c>
      <c r="T21" s="266">
        <f>VLOOKUP(" 普通股股本",$B$40:$L$500,4,0)</f>
        <v>515</v>
      </c>
      <c r="U21" s="266">
        <f>VLOOKUP(" 普通股股本",$B$40:$L$500,3,0)</f>
        <v>515</v>
      </c>
      <c r="V21" s="267">
        <f>VLOOKUP(" 普通股股本",$B$40:$L$500,2,0)</f>
        <v>515</v>
      </c>
      <c r="W21" s="200"/>
      <c r="X21" s="200"/>
      <c r="Y21" s="200"/>
      <c r="Z21" s="8"/>
      <c r="AA21" s="212"/>
      <c r="AB21" s="7"/>
      <c r="AC21" s="8"/>
      <c r="AD21" s="9"/>
    </row>
    <row r="22" spans="1:30">
      <c r="A22" s="4"/>
      <c r="B22" s="218"/>
      <c r="C22" s="5"/>
      <c r="D22" s="8"/>
      <c r="E22" s="5"/>
      <c r="F22" s="331"/>
      <c r="G22" s="331"/>
      <c r="H22" s="331"/>
      <c r="I22" s="331"/>
      <c r="J22" s="6"/>
      <c r="K22" s="8"/>
      <c r="L22" s="8"/>
      <c r="M22" s="8"/>
      <c r="N22" s="209" t="s">
        <v>25</v>
      </c>
      <c r="O22" s="268">
        <f t="shared" ref="O22:V22" si="0">IF(ISNUMBER((O3-O4)/O3),(O3-O4)/O3,0)</f>
        <v>0.25</v>
      </c>
      <c r="P22" s="269">
        <f t="shared" si="0"/>
        <v>0.2251655629139073</v>
      </c>
      <c r="Q22" s="269">
        <f t="shared" si="0"/>
        <v>0.2072072072072072</v>
      </c>
      <c r="R22" s="269">
        <f t="shared" si="0"/>
        <v>0.24571428571428572</v>
      </c>
      <c r="S22" s="269">
        <f t="shared" si="0"/>
        <v>0.25405405405405407</v>
      </c>
      <c r="T22" s="269">
        <f t="shared" si="0"/>
        <v>0.27894736842105261</v>
      </c>
      <c r="U22" s="269">
        <f t="shared" si="0"/>
        <v>0.18300653594771241</v>
      </c>
      <c r="V22" s="270">
        <f t="shared" si="0"/>
        <v>0.23076923076923078</v>
      </c>
      <c r="W22" s="344">
        <f>MIN(O22:V23)</f>
        <v>3.2679738562091505E-2</v>
      </c>
      <c r="X22" s="344">
        <f>MAX(O22:V23)</f>
        <v>0.27894736842105261</v>
      </c>
      <c r="Y22" s="199"/>
      <c r="Z22" s="8"/>
      <c r="AA22" s="212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209" t="s">
        <v>2270</v>
      </c>
      <c r="O23" s="268">
        <f>O8/O3</f>
        <v>0.25675675675675674</v>
      </c>
      <c r="P23" s="269">
        <f t="shared" ref="P23:V23" si="1">P8/P3</f>
        <v>0.11258278145695365</v>
      </c>
      <c r="Q23" s="269">
        <f t="shared" si="1"/>
        <v>5.4054054054054057E-2</v>
      </c>
      <c r="R23" s="269">
        <f t="shared" si="1"/>
        <v>0.11428571428571428</v>
      </c>
      <c r="S23" s="269">
        <f t="shared" si="1"/>
        <v>0.10810810810810811</v>
      </c>
      <c r="T23" s="269">
        <f t="shared" si="1"/>
        <v>0.21578947368421053</v>
      </c>
      <c r="U23" s="269">
        <f t="shared" si="1"/>
        <v>3.2679738562091505E-2</v>
      </c>
      <c r="V23" s="270">
        <f t="shared" si="1"/>
        <v>8.2417582417582416E-2</v>
      </c>
      <c r="W23" s="344"/>
      <c r="X23" s="344"/>
      <c r="Y23" s="199"/>
      <c r="Z23" s="8"/>
      <c r="AA23" s="212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209" t="s">
        <v>26</v>
      </c>
      <c r="O24" s="268">
        <f t="shared" ref="O24:V24" si="2">O13/O14</f>
        <v>0.2295839753466872</v>
      </c>
      <c r="P24" s="269">
        <f t="shared" si="2"/>
        <v>0.22604790419161677</v>
      </c>
      <c r="Q24" s="269">
        <f t="shared" si="2"/>
        <v>0.19135802469135801</v>
      </c>
      <c r="R24" s="269">
        <f t="shared" si="2"/>
        <v>0.22727272727272727</v>
      </c>
      <c r="S24" s="269">
        <f t="shared" si="2"/>
        <v>0.2305593451568895</v>
      </c>
      <c r="T24" s="269">
        <f t="shared" si="2"/>
        <v>0.22506393861892582</v>
      </c>
      <c r="U24" s="269">
        <f t="shared" si="2"/>
        <v>0.21895006402048656</v>
      </c>
      <c r="V24" s="270">
        <f t="shared" si="2"/>
        <v>0.29124004550625709</v>
      </c>
      <c r="W24" s="202">
        <f>MIN(O24:V24)</f>
        <v>0.19135802469135801</v>
      </c>
      <c r="X24" s="202">
        <f>MAX(O24:V24)</f>
        <v>0.29124004550625709</v>
      </c>
      <c r="Y24" s="199"/>
      <c r="Z24" s="8"/>
      <c r="AA24" s="212"/>
      <c r="AB24" s="7"/>
      <c r="AC24" s="8"/>
      <c r="AD24" s="9"/>
    </row>
    <row r="25" spans="1:30" ht="5.0999999999999996" customHeight="1">
      <c r="A25" s="340"/>
      <c r="B25" s="341"/>
      <c r="C25" s="341"/>
      <c r="D25" s="341"/>
      <c r="E25" s="341"/>
      <c r="F25" s="341"/>
      <c r="G25" s="341"/>
      <c r="H25" s="341"/>
      <c r="I25" s="341"/>
      <c r="J25" s="342"/>
      <c r="K25" s="8"/>
      <c r="L25" s="8"/>
      <c r="M25" s="8"/>
      <c r="N25" s="209" t="s">
        <v>27</v>
      </c>
      <c r="O25" s="271">
        <f>P25</f>
        <v>88.520299145299148</v>
      </c>
      <c r="P25" s="272">
        <f t="shared" ref="P25:V25" si="3">IF(ISNUMBER(365/(P4*4/((O12+P12)/2))),365/(P4*4/((O12+P12)/2)),0)</f>
        <v>88.520299145299148</v>
      </c>
      <c r="Q25" s="272">
        <f t="shared" si="3"/>
        <v>99.545454545454547</v>
      </c>
      <c r="R25" s="272">
        <f t="shared" si="3"/>
        <v>68.091856060606062</v>
      </c>
      <c r="S25" s="272">
        <f t="shared" si="3"/>
        <v>82.984601449275374</v>
      </c>
      <c r="T25" s="272">
        <f t="shared" si="3"/>
        <v>88.252737226277375</v>
      </c>
      <c r="U25" s="272">
        <f t="shared" si="3"/>
        <v>90.155000000000001</v>
      </c>
      <c r="V25" s="273">
        <f t="shared" si="3"/>
        <v>102.65625</v>
      </c>
      <c r="W25" s="203">
        <f>MIN(O25:V27)</f>
        <v>65.178571428571431</v>
      </c>
      <c r="X25" s="204">
        <f>MAX(O25:V27)</f>
        <v>162.79829545454547</v>
      </c>
      <c r="Y25" s="199"/>
      <c r="Z25" s="8"/>
      <c r="AA25" s="212"/>
      <c r="AB25" s="7"/>
      <c r="AC25" s="8"/>
      <c r="AD25" s="9"/>
    </row>
    <row r="26" spans="1:30" ht="24" customHeight="1">
      <c r="A26" s="126"/>
      <c r="B26" s="145" t="s">
        <v>1890</v>
      </c>
      <c r="C26" s="127"/>
      <c r="D26" s="249"/>
      <c r="E26" s="127"/>
      <c r="F26" s="337" t="s">
        <v>1883</v>
      </c>
      <c r="G26" s="337"/>
      <c r="H26" s="337"/>
      <c r="I26" s="337"/>
      <c r="J26" s="128"/>
      <c r="K26" s="8"/>
      <c r="L26" s="8"/>
      <c r="M26" s="8"/>
      <c r="N26" s="209" t="s">
        <v>28</v>
      </c>
      <c r="O26" s="274">
        <f>P26</f>
        <v>73.120860927152307</v>
      </c>
      <c r="P26" s="275">
        <f t="shared" ref="P26:V27" si="4">IF(ISNUMBER(365/(P3*4/((O10+P10)/2))),365/(P3*4/((O10+P10)/2)),0)</f>
        <v>73.120860927152307</v>
      </c>
      <c r="Q26" s="275">
        <f t="shared" si="4"/>
        <v>93.71621621621621</v>
      </c>
      <c r="R26" s="275">
        <f t="shared" si="4"/>
        <v>65.178571428571431</v>
      </c>
      <c r="S26" s="275">
        <f t="shared" si="4"/>
        <v>75.219594594594597</v>
      </c>
      <c r="T26" s="275">
        <f t="shared" si="4"/>
        <v>73.48026315789474</v>
      </c>
      <c r="U26" s="275">
        <f t="shared" si="4"/>
        <v>80.812908496732021</v>
      </c>
      <c r="V26" s="276">
        <f t="shared" si="4"/>
        <v>73.451236263736263</v>
      </c>
      <c r="W26" s="203"/>
      <c r="X26" s="204"/>
      <c r="Y26" s="199"/>
      <c r="Z26" s="8"/>
      <c r="AA26" s="212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209" t="s">
        <v>29</v>
      </c>
      <c r="O27" s="271">
        <f>P27</f>
        <v>125.95619658119658</v>
      </c>
      <c r="P27" s="272">
        <f t="shared" si="4"/>
        <v>125.95619658119658</v>
      </c>
      <c r="Q27" s="272">
        <f t="shared" si="4"/>
        <v>162.79829545454547</v>
      </c>
      <c r="R27" s="272">
        <f t="shared" si="4"/>
        <v>103.69318181818181</v>
      </c>
      <c r="S27" s="272">
        <f t="shared" si="4"/>
        <v>96.209239130434781</v>
      </c>
      <c r="T27" s="272">
        <f t="shared" si="4"/>
        <v>93.914233576642346</v>
      </c>
      <c r="U27" s="272">
        <f t="shared" si="4"/>
        <v>102.565</v>
      </c>
      <c r="V27" s="273">
        <f t="shared" si="4"/>
        <v>115.69196428571429</v>
      </c>
      <c r="W27" s="203"/>
      <c r="X27" s="204"/>
      <c r="Y27" s="199"/>
      <c r="Z27" s="8"/>
      <c r="AA27" s="212"/>
      <c r="AB27" s="7"/>
      <c r="AC27" s="8"/>
      <c r="AD27" s="9"/>
    </row>
    <row r="28" spans="1:30">
      <c r="A28" s="4"/>
      <c r="B28" s="218"/>
      <c r="C28" s="5"/>
      <c r="D28" s="8"/>
      <c r="E28" s="5"/>
      <c r="F28" s="331"/>
      <c r="G28" s="331"/>
      <c r="H28" s="331"/>
      <c r="I28" s="331"/>
      <c r="J28" s="6"/>
      <c r="K28" s="8"/>
      <c r="L28" s="8"/>
      <c r="M28" s="8"/>
      <c r="N28" s="209" t="s">
        <v>30</v>
      </c>
      <c r="O28" s="277">
        <f>O26+O27</f>
        <v>199.0770575083489</v>
      </c>
      <c r="P28" s="278">
        <f t="shared" ref="P28:V28" si="5">P26+P27</f>
        <v>199.0770575083489</v>
      </c>
      <c r="Q28" s="278">
        <f t="shared" si="5"/>
        <v>256.51451167076169</v>
      </c>
      <c r="R28" s="278">
        <f t="shared" si="5"/>
        <v>168.87175324675326</v>
      </c>
      <c r="S28" s="278">
        <f t="shared" si="5"/>
        <v>171.42883372502939</v>
      </c>
      <c r="T28" s="278">
        <f t="shared" si="5"/>
        <v>167.39449673453709</v>
      </c>
      <c r="U28" s="278">
        <f t="shared" si="5"/>
        <v>183.377908496732</v>
      </c>
      <c r="V28" s="279">
        <f t="shared" si="5"/>
        <v>189.14320054945057</v>
      </c>
      <c r="W28" s="205">
        <f>MIN(O28:V28)</f>
        <v>167.39449673453709</v>
      </c>
      <c r="X28" s="202"/>
      <c r="Y28" s="199"/>
      <c r="Z28" s="8"/>
      <c r="AA28" s="212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209" t="s">
        <v>31</v>
      </c>
      <c r="O29" s="256">
        <f>O18+O19</f>
        <v>4</v>
      </c>
      <c r="P29" s="257">
        <f t="shared" ref="P29:V29" si="6">P18+P19</f>
        <v>4</v>
      </c>
      <c r="Q29" s="257">
        <f t="shared" si="6"/>
        <v>5</v>
      </c>
      <c r="R29" s="257">
        <f t="shared" si="6"/>
        <v>5</v>
      </c>
      <c r="S29" s="257">
        <f t="shared" si="6"/>
        <v>5</v>
      </c>
      <c r="T29" s="257">
        <f t="shared" si="6"/>
        <v>5</v>
      </c>
      <c r="U29" s="257">
        <f t="shared" si="6"/>
        <v>5</v>
      </c>
      <c r="V29" s="258">
        <f t="shared" si="6"/>
        <v>7</v>
      </c>
      <c r="W29" s="199"/>
      <c r="X29" s="199"/>
      <c r="Y29" s="199"/>
      <c r="Z29" s="8"/>
      <c r="AA29" s="212"/>
      <c r="AB29" s="7"/>
      <c r="AC29" s="8"/>
      <c r="AD29" s="9"/>
    </row>
    <row r="30" spans="1:30">
      <c r="A30" s="4"/>
      <c r="B30" s="218"/>
      <c r="C30" s="5"/>
      <c r="D30" s="8"/>
      <c r="E30" s="5"/>
      <c r="F30" s="331"/>
      <c r="G30" s="331"/>
      <c r="H30" s="331"/>
      <c r="I30" s="331"/>
      <c r="J30" s="6"/>
      <c r="K30" s="8"/>
      <c r="L30" s="8"/>
      <c r="M30" s="8"/>
      <c r="N30" s="209" t="s">
        <v>32</v>
      </c>
      <c r="O30" s="268">
        <f>P30</f>
        <v>2.7586206896551724E-2</v>
      </c>
      <c r="P30" s="269">
        <f t="shared" ref="P30:V30" si="7">P29/(IF(P3-O3&gt;0,P3,O4)-P16)</f>
        <v>2.7586206896551724E-2</v>
      </c>
      <c r="Q30" s="269">
        <f t="shared" si="7"/>
        <v>4.5871559633027525E-2</v>
      </c>
      <c r="R30" s="269">
        <f t="shared" si="7"/>
        <v>2.9239766081871343E-2</v>
      </c>
      <c r="S30" s="269">
        <f t="shared" si="7"/>
        <v>2.7624309392265192E-2</v>
      </c>
      <c r="T30" s="269">
        <f t="shared" si="7"/>
        <v>2.6737967914438502E-2</v>
      </c>
      <c r="U30" s="269">
        <f t="shared" si="7"/>
        <v>4.4642857142857144E-2</v>
      </c>
      <c r="V30" s="270">
        <f t="shared" si="7"/>
        <v>3.9106145251396648E-2</v>
      </c>
      <c r="W30" s="199"/>
      <c r="X30" s="199"/>
      <c r="Y30" s="199"/>
      <c r="Z30" s="8"/>
      <c r="AA30" s="212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210" t="s">
        <v>224</v>
      </c>
      <c r="O31" s="280">
        <f t="shared" ref="O31:V31" si="8">O29/O4</f>
        <v>3.6036036036036036E-2</v>
      </c>
      <c r="P31" s="281">
        <f t="shared" si="8"/>
        <v>3.4188034188034191E-2</v>
      </c>
      <c r="Q31" s="281">
        <f t="shared" si="8"/>
        <v>5.6818181818181816E-2</v>
      </c>
      <c r="R31" s="281">
        <f t="shared" si="8"/>
        <v>3.787878787878788E-2</v>
      </c>
      <c r="S31" s="281">
        <f>S29/S4</f>
        <v>3.6231884057971016E-2</v>
      </c>
      <c r="T31" s="281">
        <f t="shared" si="8"/>
        <v>3.6496350364963501E-2</v>
      </c>
      <c r="U31" s="281">
        <f t="shared" si="8"/>
        <v>0.04</v>
      </c>
      <c r="V31" s="282">
        <f t="shared" si="8"/>
        <v>0.05</v>
      </c>
      <c r="W31" s="339">
        <f>AVERAGE(O32:V32)</f>
        <v>1.8334200143472024</v>
      </c>
      <c r="X31" s="339"/>
      <c r="Y31" s="199"/>
      <c r="Z31" s="8"/>
      <c r="AA31" s="212"/>
      <c r="AB31" s="7"/>
      <c r="AC31" s="8"/>
      <c r="AD31" s="9"/>
    </row>
    <row r="32" spans="1:30">
      <c r="A32" s="4"/>
      <c r="B32" s="218"/>
      <c r="C32" s="5"/>
      <c r="D32" s="8"/>
      <c r="E32" s="5"/>
      <c r="F32" s="331"/>
      <c r="G32" s="331"/>
      <c r="H32" s="331"/>
      <c r="I32" s="331"/>
      <c r="J32" s="6"/>
      <c r="K32" s="8"/>
      <c r="L32" s="8"/>
      <c r="M32" s="8"/>
      <c r="N32" s="338" t="s">
        <v>33</v>
      </c>
      <c r="O32" s="283">
        <f t="shared" ref="O32:V32" si="9">IF(O8&gt;0,IF(O15&gt;O8,IF(ISNUMBER(O15/O8),O15/O8,0),0),0)</f>
        <v>0</v>
      </c>
      <c r="P32" s="284">
        <f t="shared" si="9"/>
        <v>1.0588235294117647</v>
      </c>
      <c r="Q32" s="284">
        <f t="shared" si="9"/>
        <v>3</v>
      </c>
      <c r="R32" s="284">
        <f t="shared" si="9"/>
        <v>1.1499999999999999</v>
      </c>
      <c r="S32" s="284">
        <f t="shared" si="9"/>
        <v>1.6</v>
      </c>
      <c r="T32" s="284">
        <f t="shared" si="9"/>
        <v>1.6585365853658536</v>
      </c>
      <c r="U32" s="284">
        <f t="shared" si="9"/>
        <v>6.2</v>
      </c>
      <c r="V32" s="285">
        <f t="shared" si="9"/>
        <v>0</v>
      </c>
      <c r="W32" s="339"/>
      <c r="X32" s="339"/>
      <c r="Y32" s="199"/>
      <c r="Z32" s="8"/>
      <c r="AA32" s="212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38"/>
      <c r="O33" s="283">
        <f>$W$31</f>
        <v>1.8334200143472024</v>
      </c>
      <c r="P33" s="284">
        <f t="shared" ref="P33:V33" si="10">$W$31</f>
        <v>1.8334200143472024</v>
      </c>
      <c r="Q33" s="284">
        <f t="shared" si="10"/>
        <v>1.8334200143472024</v>
      </c>
      <c r="R33" s="284">
        <f t="shared" si="10"/>
        <v>1.8334200143472024</v>
      </c>
      <c r="S33" s="284">
        <f t="shared" si="10"/>
        <v>1.8334200143472024</v>
      </c>
      <c r="T33" s="284">
        <f t="shared" si="10"/>
        <v>1.8334200143472024</v>
      </c>
      <c r="U33" s="284">
        <f t="shared" si="10"/>
        <v>1.8334200143472024</v>
      </c>
      <c r="V33" s="285">
        <f t="shared" si="10"/>
        <v>1.8334200143472024</v>
      </c>
      <c r="W33" s="202"/>
      <c r="X33" s="202"/>
      <c r="Y33" s="199"/>
      <c r="Z33" s="8"/>
      <c r="AA33" s="212"/>
      <c r="AB33" s="7"/>
      <c r="AC33" s="8"/>
      <c r="AD33" s="9"/>
    </row>
    <row r="34" spans="1:31">
      <c r="A34" s="4"/>
      <c r="B34" s="218"/>
      <c r="C34" s="5"/>
      <c r="D34" s="8"/>
      <c r="E34" s="5"/>
      <c r="F34" s="331"/>
      <c r="G34" s="331"/>
      <c r="H34" s="331"/>
      <c r="I34" s="331"/>
      <c r="J34" s="6"/>
      <c r="K34" s="8"/>
      <c r="L34" s="8"/>
      <c r="M34" s="8"/>
      <c r="N34" s="210" t="s">
        <v>34</v>
      </c>
      <c r="O34" s="286">
        <f t="shared" ref="O34:V34" si="11">IF(O6&gt;0,IF((O7-O6)&gt;0,O5,0),MAX(O5,O7))</f>
        <v>24</v>
      </c>
      <c r="P34" s="287">
        <f t="shared" si="11"/>
        <v>16</v>
      </c>
      <c r="Q34" s="287">
        <f t="shared" si="11"/>
        <v>3</v>
      </c>
      <c r="R34" s="287">
        <f t="shared" si="11"/>
        <v>24</v>
      </c>
      <c r="S34" s="287">
        <f t="shared" si="11"/>
        <v>28</v>
      </c>
      <c r="T34" s="287">
        <f t="shared" si="11"/>
        <v>34</v>
      </c>
      <c r="U34" s="287">
        <f t="shared" si="11"/>
        <v>6</v>
      </c>
      <c r="V34" s="288">
        <f t="shared" si="11"/>
        <v>24</v>
      </c>
      <c r="W34" s="202"/>
      <c r="X34" s="202"/>
      <c r="Y34" s="199"/>
      <c r="Z34" s="8"/>
      <c r="AA34" s="212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210" t="s">
        <v>35</v>
      </c>
      <c r="O35" s="268">
        <f t="shared" ref="O35:U35" si="12">O34/O7</f>
        <v>1.0909090909090908</v>
      </c>
      <c r="P35" s="269">
        <f t="shared" si="12"/>
        <v>0.76190476190476186</v>
      </c>
      <c r="Q35" s="269">
        <f t="shared" si="12"/>
        <v>0.42857142857142855</v>
      </c>
      <c r="R35" s="269">
        <f t="shared" si="12"/>
        <v>1.0434782608695652</v>
      </c>
      <c r="S35" s="269">
        <f t="shared" si="12"/>
        <v>1.1200000000000001</v>
      </c>
      <c r="T35" s="269">
        <f t="shared" si="12"/>
        <v>0.69387755102040816</v>
      </c>
      <c r="U35" s="269">
        <f t="shared" si="12"/>
        <v>1</v>
      </c>
      <c r="V35" s="270">
        <f>IF(ISNUMBER(V6),V34/V7,1)</f>
        <v>1.0434782608695652</v>
      </c>
      <c r="W35" s="199"/>
      <c r="X35" s="199"/>
      <c r="Y35" s="199"/>
      <c r="Z35" s="8"/>
      <c r="AA35" s="212"/>
      <c r="AB35" s="7"/>
      <c r="AC35" s="8"/>
      <c r="AD35" s="9"/>
    </row>
    <row r="36" spans="1:31" ht="17.25" thickBot="1">
      <c r="A36" s="10"/>
      <c r="B36" s="11"/>
      <c r="C36" s="11"/>
      <c r="D36" s="118"/>
      <c r="E36" s="11"/>
      <c r="F36" s="11"/>
      <c r="G36" s="11"/>
      <c r="H36" s="11"/>
      <c r="I36" s="11"/>
      <c r="J36" s="12"/>
      <c r="K36" s="118"/>
      <c r="L36" s="118"/>
      <c r="M36" s="118"/>
      <c r="N36" s="252" t="s">
        <v>36</v>
      </c>
      <c r="O36" s="289"/>
      <c r="P36" s="290">
        <f>Q36</f>
        <v>4.4878048780487803E-2</v>
      </c>
      <c r="Q36" s="290">
        <f>(Q8+P8)*2/(O20+Q20)</f>
        <v>4.4878048780487803E-2</v>
      </c>
      <c r="R36" s="290">
        <f>((R8+Q8+P8)/3)*4/(O20+R20)</f>
        <v>5.4916985951468711E-2</v>
      </c>
      <c r="S36" s="290">
        <f>(S8+R8+Q8+P8)/(O20+S20)</f>
        <v>5.921052631578947E-2</v>
      </c>
      <c r="T36" s="290">
        <f>(T8+S8+R8+Q8)/(P20+T20)</f>
        <v>7.7471059661620656E-2</v>
      </c>
      <c r="U36" s="290">
        <f>(U8+T8+S8+R8)/(Q20+U20)</f>
        <v>7.5837742504409167E-2</v>
      </c>
      <c r="V36" s="291">
        <f>(V8+U8+T8+S8)/(R20+V20)</f>
        <v>6.934931506849315E-2</v>
      </c>
      <c r="W36" s="200"/>
      <c r="X36" s="200"/>
      <c r="Y36" s="200"/>
      <c r="Z36" s="8"/>
      <c r="AA36" s="214"/>
      <c r="AB36" s="117"/>
      <c r="AC36" s="118"/>
      <c r="AD36" s="119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97" t="s">
        <v>46</v>
      </c>
      <c r="O37" s="129">
        <f>O15-O16</f>
        <v>-5</v>
      </c>
      <c r="P37" s="129">
        <f>P15-P16</f>
        <v>12</v>
      </c>
      <c r="Q37" s="129">
        <f t="shared" ref="Q37:V37" si="13">Q15-Q16</f>
        <v>10</v>
      </c>
      <c r="R37" s="129">
        <f t="shared" si="13"/>
        <v>19</v>
      </c>
      <c r="S37" s="129">
        <f t="shared" si="13"/>
        <v>28</v>
      </c>
      <c r="T37" s="129">
        <f t="shared" si="13"/>
        <v>65</v>
      </c>
      <c r="U37" s="129">
        <f t="shared" si="13"/>
        <v>6</v>
      </c>
      <c r="V37" s="129">
        <f t="shared" si="13"/>
        <v>-20</v>
      </c>
      <c r="W37" s="25"/>
      <c r="X37" s="25"/>
      <c r="Y37" s="25"/>
      <c r="Z37" s="8"/>
      <c r="AA37" s="132"/>
      <c r="AB37" s="8"/>
      <c r="AC37" s="8"/>
      <c r="AD37" s="8"/>
      <c r="AE37" s="8"/>
    </row>
    <row r="38" spans="1:31" s="3" customFormat="1" ht="17.25" thickBot="1">
      <c r="B38" s="3" t="s">
        <v>2378</v>
      </c>
      <c r="N38" s="194"/>
      <c r="O38" s="193"/>
      <c r="P38" s="193"/>
      <c r="Q38" s="193"/>
      <c r="R38" s="193"/>
      <c r="S38" s="193"/>
      <c r="T38" s="193"/>
      <c r="U38" s="193"/>
      <c r="V38" s="193"/>
      <c r="AA38" s="134"/>
    </row>
    <row r="39" spans="1:31" s="3" customFormat="1">
      <c r="B39" s="3" t="s">
        <v>47</v>
      </c>
    </row>
    <row r="40" spans="1:31" s="3" customFormat="1" ht="25.5">
      <c r="B40" s="3" t="s">
        <v>48</v>
      </c>
      <c r="C40" s="153" t="s">
        <v>2375</v>
      </c>
      <c r="D40" s="14" t="s">
        <v>2376</v>
      </c>
      <c r="E40" s="14" t="s">
        <v>2267</v>
      </c>
      <c r="F40" s="14" t="s">
        <v>226</v>
      </c>
      <c r="G40" s="14" t="s">
        <v>49</v>
      </c>
      <c r="H40" s="14" t="s">
        <v>50</v>
      </c>
      <c r="I40" s="14" t="s">
        <v>51</v>
      </c>
      <c r="J40" s="14" t="s">
        <v>52</v>
      </c>
    </row>
    <row r="41" spans="1:31" s="3" customFormat="1">
      <c r="B41" s="3" t="s">
        <v>10</v>
      </c>
      <c r="C41" s="14">
        <v>182</v>
      </c>
      <c r="D41" s="14">
        <v>153</v>
      </c>
      <c r="E41" s="14">
        <v>190</v>
      </c>
      <c r="F41" s="14">
        <v>185</v>
      </c>
      <c r="G41" s="14">
        <v>175</v>
      </c>
      <c r="H41" s="14">
        <v>111</v>
      </c>
      <c r="I41" s="14">
        <v>151</v>
      </c>
      <c r="J41" s="14">
        <v>148</v>
      </c>
    </row>
    <row r="42" spans="1:31" s="3" customFormat="1">
      <c r="B42" s="3" t="s">
        <v>11</v>
      </c>
      <c r="C42" s="14">
        <v>140</v>
      </c>
      <c r="D42" s="14">
        <v>125</v>
      </c>
      <c r="E42" s="14">
        <v>137</v>
      </c>
      <c r="F42" s="14">
        <v>138</v>
      </c>
      <c r="G42" s="14">
        <v>132</v>
      </c>
      <c r="H42" s="14">
        <v>88</v>
      </c>
      <c r="I42" s="14">
        <v>117</v>
      </c>
      <c r="J42" s="14">
        <v>111</v>
      </c>
      <c r="O42" s="135"/>
      <c r="P42" s="135"/>
      <c r="Q42" s="135"/>
      <c r="R42" s="135"/>
      <c r="S42" s="135"/>
      <c r="T42" s="135"/>
      <c r="U42" s="135"/>
      <c r="V42" s="135"/>
    </row>
    <row r="43" spans="1:31" s="3" customFormat="1">
      <c r="B43" s="3" t="s">
        <v>55</v>
      </c>
      <c r="C43" s="14">
        <v>42</v>
      </c>
      <c r="D43" s="14">
        <v>29</v>
      </c>
      <c r="E43" s="14">
        <v>53</v>
      </c>
      <c r="F43" s="14">
        <v>47</v>
      </c>
      <c r="G43" s="14">
        <v>43</v>
      </c>
      <c r="H43" s="14">
        <v>23</v>
      </c>
      <c r="I43" s="14">
        <v>34</v>
      </c>
      <c r="J43" s="14">
        <v>37</v>
      </c>
      <c r="O43" s="195"/>
      <c r="P43" s="195"/>
      <c r="Q43" s="195"/>
      <c r="R43" s="195"/>
      <c r="S43" s="195"/>
      <c r="T43" s="195"/>
      <c r="U43" s="195"/>
      <c r="V43" s="195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</row>
    <row r="45" spans="1:31" s="3" customFormat="1">
      <c r="B45" s="3" t="s">
        <v>57</v>
      </c>
      <c r="C45" s="14">
        <v>42</v>
      </c>
      <c r="D45" s="14">
        <v>29</v>
      </c>
      <c r="E45" s="14">
        <v>53</v>
      </c>
      <c r="F45" s="14">
        <v>47</v>
      </c>
      <c r="G45" s="14">
        <v>43</v>
      </c>
      <c r="H45" s="14">
        <v>23</v>
      </c>
      <c r="I45" s="14">
        <v>34</v>
      </c>
      <c r="J45" s="14">
        <v>37</v>
      </c>
      <c r="N45" s="196"/>
      <c r="O45" s="230"/>
      <c r="P45" s="232"/>
      <c r="Q45" s="232"/>
      <c r="R45" s="232"/>
      <c r="S45" s="232"/>
      <c r="T45" s="232"/>
      <c r="U45" s="232"/>
      <c r="V45" s="232"/>
      <c r="W45" s="231"/>
      <c r="X45" s="231"/>
      <c r="Y45" s="231"/>
    </row>
    <row r="46" spans="1:31" s="3" customFormat="1">
      <c r="B46" s="3" t="s">
        <v>58</v>
      </c>
      <c r="C46" s="14">
        <v>18</v>
      </c>
      <c r="D46" s="14">
        <v>23</v>
      </c>
      <c r="E46" s="14">
        <v>19</v>
      </c>
      <c r="F46" s="14">
        <v>19</v>
      </c>
      <c r="G46" s="14">
        <v>19</v>
      </c>
      <c r="H46" s="14">
        <v>20</v>
      </c>
      <c r="I46" s="14">
        <v>19</v>
      </c>
      <c r="J46" s="14">
        <v>13</v>
      </c>
      <c r="N46" s="133"/>
    </row>
    <row r="47" spans="1:31" s="3" customFormat="1">
      <c r="B47" s="3" t="s">
        <v>59</v>
      </c>
      <c r="C47" s="14">
        <v>5</v>
      </c>
      <c r="D47" s="14">
        <v>5</v>
      </c>
      <c r="E47" s="14">
        <v>5</v>
      </c>
      <c r="F47" s="14">
        <v>6</v>
      </c>
      <c r="G47" s="14">
        <v>4</v>
      </c>
      <c r="H47" s="14">
        <v>5</v>
      </c>
      <c r="I47" s="14">
        <v>4</v>
      </c>
      <c r="J47" s="14">
        <v>3</v>
      </c>
      <c r="N47" s="133"/>
      <c r="O47" s="221"/>
      <c r="P47" s="221"/>
      <c r="Q47" s="221"/>
      <c r="R47" s="221"/>
      <c r="S47" s="221"/>
      <c r="T47" s="221"/>
      <c r="U47" s="221"/>
      <c r="V47" s="221"/>
    </row>
    <row r="48" spans="1:31" s="3" customFormat="1" ht="17.25" thickBot="1">
      <c r="B48" s="3" t="s">
        <v>60</v>
      </c>
      <c r="C48" s="14">
        <v>8</v>
      </c>
      <c r="D48" s="14">
        <v>8</v>
      </c>
      <c r="E48" s="14">
        <v>7</v>
      </c>
      <c r="F48" s="14">
        <v>8</v>
      </c>
      <c r="G48" s="14">
        <v>8</v>
      </c>
      <c r="H48" s="14">
        <v>6</v>
      </c>
      <c r="I48" s="14">
        <v>7</v>
      </c>
      <c r="J48" s="14">
        <v>3</v>
      </c>
      <c r="N48" s="133"/>
      <c r="O48" s="220"/>
      <c r="P48" s="135"/>
      <c r="Q48" s="135"/>
      <c r="R48" s="135"/>
      <c r="S48" s="135"/>
      <c r="T48" s="135"/>
      <c r="U48" s="135"/>
      <c r="V48" s="135"/>
    </row>
    <row r="49" spans="2:27" s="3" customFormat="1">
      <c r="B49" s="3" t="s">
        <v>61</v>
      </c>
      <c r="C49" s="14">
        <v>5</v>
      </c>
      <c r="D49" s="14">
        <v>10</v>
      </c>
      <c r="E49" s="14">
        <v>6</v>
      </c>
      <c r="F49" s="14">
        <v>5</v>
      </c>
      <c r="G49" s="14">
        <v>7</v>
      </c>
      <c r="H49" s="14">
        <v>9</v>
      </c>
      <c r="I49" s="14">
        <v>8</v>
      </c>
      <c r="J49" s="14">
        <v>7</v>
      </c>
      <c r="N49" s="120" t="s">
        <v>2280</v>
      </c>
      <c r="O49" s="332" t="s">
        <v>2282</v>
      </c>
      <c r="P49" s="332" t="s">
        <v>2283</v>
      </c>
      <c r="Q49" s="334" t="s">
        <v>2284</v>
      </c>
      <c r="R49" s="332" t="s">
        <v>2285</v>
      </c>
      <c r="S49" s="306" t="s">
        <v>2286</v>
      </c>
      <c r="T49" s="329" t="s">
        <v>2287</v>
      </c>
      <c r="U49" s="306" t="s">
        <v>2288</v>
      </c>
      <c r="V49" s="306" t="s">
        <v>2289</v>
      </c>
      <c r="W49" s="306" t="s">
        <v>2290</v>
      </c>
      <c r="X49" s="306" t="s">
        <v>2291</v>
      </c>
      <c r="Y49" s="306" t="s">
        <v>2292</v>
      </c>
      <c r="AA49" s="134"/>
    </row>
    <row r="50" spans="2:27" s="3" customFormat="1" ht="17.25" thickBot="1">
      <c r="B50" s="3" t="s">
        <v>62</v>
      </c>
      <c r="C50" s="14">
        <v>24</v>
      </c>
      <c r="D50" s="14">
        <v>6</v>
      </c>
      <c r="E50" s="14">
        <v>34</v>
      </c>
      <c r="F50" s="14">
        <v>28</v>
      </c>
      <c r="G50" s="14">
        <v>24</v>
      </c>
      <c r="H50" s="14">
        <v>3</v>
      </c>
      <c r="I50" s="14">
        <v>16</v>
      </c>
      <c r="J50" s="14">
        <v>24</v>
      </c>
      <c r="N50" s="121" t="s">
        <v>2281</v>
      </c>
      <c r="O50" s="333"/>
      <c r="P50" s="333"/>
      <c r="Q50" s="335"/>
      <c r="R50" s="333"/>
      <c r="S50" s="307"/>
      <c r="T50" s="330"/>
      <c r="U50" s="307"/>
      <c r="V50" s="307"/>
      <c r="W50" s="307"/>
      <c r="X50" s="307"/>
      <c r="Y50" s="307"/>
      <c r="AA50" s="134"/>
    </row>
    <row r="51" spans="2:27" s="3" customFormat="1">
      <c r="B51" s="3" t="s">
        <v>63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N51" s="136" t="s">
        <v>2380</v>
      </c>
      <c r="O51" s="308">
        <v>0.55833333333333335</v>
      </c>
      <c r="P51" s="311">
        <v>14.8</v>
      </c>
      <c r="Q51" s="314">
        <v>14.75</v>
      </c>
      <c r="R51" s="317">
        <v>14.8</v>
      </c>
      <c r="S51" s="320" t="s">
        <v>2381</v>
      </c>
      <c r="T51" s="323">
        <v>59</v>
      </c>
      <c r="U51" s="326">
        <v>14.6</v>
      </c>
      <c r="V51" s="326">
        <v>14.6</v>
      </c>
      <c r="W51" s="326">
        <v>14.85</v>
      </c>
      <c r="X51" s="326">
        <v>14.6</v>
      </c>
      <c r="Y51" s="137" t="s">
        <v>2294</v>
      </c>
      <c r="AA51" s="134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8" t="s">
        <v>2293</v>
      </c>
      <c r="O52" s="309"/>
      <c r="P52" s="312"/>
      <c r="Q52" s="315"/>
      <c r="R52" s="318"/>
      <c r="S52" s="321"/>
      <c r="T52" s="324"/>
      <c r="U52" s="327"/>
      <c r="V52" s="327"/>
      <c r="W52" s="327"/>
      <c r="X52" s="327"/>
      <c r="Y52" s="139" t="s">
        <v>2295</v>
      </c>
      <c r="AA52" s="134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40"/>
      <c r="O53" s="309"/>
      <c r="P53" s="312"/>
      <c r="Q53" s="315"/>
      <c r="R53" s="318"/>
      <c r="S53" s="321"/>
      <c r="T53" s="324"/>
      <c r="U53" s="327"/>
      <c r="V53" s="327"/>
      <c r="W53" s="327"/>
      <c r="X53" s="327"/>
      <c r="Y53" s="139" t="s">
        <v>2296</v>
      </c>
      <c r="AA53" s="134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41"/>
      <c r="O54" s="310"/>
      <c r="P54" s="313"/>
      <c r="Q54" s="316"/>
      <c r="R54" s="319"/>
      <c r="S54" s="322"/>
      <c r="T54" s="325"/>
      <c r="U54" s="328"/>
      <c r="V54" s="328"/>
      <c r="W54" s="328"/>
      <c r="X54" s="328"/>
      <c r="Y54" s="142" t="s">
        <v>2297</v>
      </c>
      <c r="AA54" s="134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N55" s="122" t="s">
        <v>2298</v>
      </c>
      <c r="O55" s="303" t="s">
        <v>2367</v>
      </c>
      <c r="P55" s="304"/>
      <c r="Q55" s="304"/>
      <c r="R55" s="304"/>
      <c r="S55" s="304"/>
      <c r="T55" s="304"/>
      <c r="U55" s="304"/>
      <c r="V55" s="304"/>
      <c r="W55" s="304"/>
      <c r="X55" s="304"/>
      <c r="Y55" s="305"/>
      <c r="AA55" s="134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34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34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34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34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34"/>
    </row>
    <row r="61" spans="2:27" s="3" customFormat="1">
      <c r="B61" s="3" t="s">
        <v>73</v>
      </c>
      <c r="C61" s="14">
        <v>4</v>
      </c>
      <c r="D61" s="14">
        <v>0</v>
      </c>
      <c r="E61" s="14">
        <v>9</v>
      </c>
      <c r="F61" s="14">
        <v>0</v>
      </c>
      <c r="G61" s="14">
        <v>0</v>
      </c>
      <c r="H61" s="14">
        <v>5</v>
      </c>
      <c r="I61" s="14">
        <v>3</v>
      </c>
      <c r="J61" s="14">
        <v>-3</v>
      </c>
      <c r="AA61" s="134"/>
    </row>
    <row r="62" spans="2:27" s="3" customFormat="1">
      <c r="B62" s="3" t="s">
        <v>74</v>
      </c>
      <c r="C62" s="14">
        <v>1</v>
      </c>
      <c r="D62" s="14">
        <v>1</v>
      </c>
      <c r="E62" s="14">
        <v>1</v>
      </c>
      <c r="F62" s="14">
        <v>0</v>
      </c>
      <c r="G62" s="14">
        <v>1</v>
      </c>
      <c r="H62" s="14">
        <v>0</v>
      </c>
      <c r="I62" s="14">
        <v>2</v>
      </c>
      <c r="J62" s="14">
        <v>1</v>
      </c>
      <c r="Q62" s="14"/>
      <c r="R62" s="14"/>
      <c r="T62" s="14"/>
      <c r="AA62" s="134"/>
    </row>
    <row r="63" spans="2:27" s="3" customFormat="1">
      <c r="B63" s="3" t="s">
        <v>75</v>
      </c>
      <c r="C63" s="14">
        <v>5</v>
      </c>
      <c r="D63" s="14">
        <v>1</v>
      </c>
      <c r="E63" s="14">
        <v>10</v>
      </c>
      <c r="F63" s="14">
        <v>1</v>
      </c>
      <c r="G63" s="14">
        <v>1</v>
      </c>
      <c r="H63" s="14">
        <v>4</v>
      </c>
      <c r="I63" s="14">
        <v>5</v>
      </c>
      <c r="J63" s="14">
        <v>-2</v>
      </c>
      <c r="P63" s="14"/>
      <c r="Q63" s="143"/>
      <c r="R63" s="14"/>
      <c r="S63" s="143"/>
      <c r="T63" s="14"/>
      <c r="U63" s="143"/>
      <c r="AA63" s="134"/>
    </row>
    <row r="64" spans="2:27" s="3" customFormat="1">
      <c r="B64" s="3" t="s">
        <v>76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P64" s="14"/>
      <c r="Q64" s="14"/>
      <c r="R64" s="14"/>
      <c r="S64" s="143"/>
      <c r="T64" s="14"/>
      <c r="U64" s="143"/>
      <c r="AA64" s="134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43"/>
      <c r="R65" s="14"/>
      <c r="S65" s="143"/>
      <c r="T65" s="14"/>
      <c r="U65" s="143"/>
      <c r="AA65" s="134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43"/>
      <c r="T66" s="14"/>
      <c r="U66" s="143"/>
      <c r="AA66" s="134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43"/>
      <c r="R67" s="14"/>
      <c r="S67" s="143"/>
      <c r="T67" s="14"/>
      <c r="U67" s="143"/>
      <c r="AA67" s="134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43"/>
      <c r="T68" s="14"/>
      <c r="U68" s="143"/>
      <c r="AA68" s="134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P69" s="14"/>
      <c r="Q69" s="143"/>
      <c r="R69" s="14"/>
      <c r="S69" s="143"/>
      <c r="T69" s="14"/>
      <c r="U69" s="143"/>
      <c r="AA69" s="134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43"/>
      <c r="T70" s="14"/>
      <c r="U70" s="143"/>
      <c r="AA70" s="134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43"/>
      <c r="R71" s="14"/>
      <c r="S71" s="143"/>
      <c r="T71" s="14"/>
      <c r="U71" s="143"/>
      <c r="AA71" s="134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43"/>
      <c r="T72" s="14"/>
      <c r="U72" s="143"/>
      <c r="AA72" s="134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43"/>
      <c r="R73" s="14"/>
      <c r="S73" s="143"/>
      <c r="T73" s="14"/>
      <c r="U73" s="143"/>
      <c r="AA73" s="134"/>
    </row>
    <row r="74" spans="2:27" s="3" customFormat="1">
      <c r="B74" s="3" t="s">
        <v>86</v>
      </c>
      <c r="C74" s="14">
        <v>6</v>
      </c>
      <c r="D74" s="14">
        <v>0</v>
      </c>
      <c r="E74" s="14">
        <v>-5</v>
      </c>
      <c r="F74" s="14">
        <v>3</v>
      </c>
      <c r="G74" s="14">
        <v>2</v>
      </c>
      <c r="H74" s="14">
        <v>0</v>
      </c>
      <c r="I74" s="14">
        <v>0</v>
      </c>
      <c r="J74" s="14">
        <v>0</v>
      </c>
      <c r="P74" s="14"/>
      <c r="Q74" s="14"/>
      <c r="R74" s="14"/>
      <c r="S74" s="143"/>
      <c r="T74" s="14"/>
      <c r="U74" s="143"/>
      <c r="AA74" s="134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43"/>
      <c r="R75" s="14"/>
      <c r="S75" s="143"/>
      <c r="T75" s="14"/>
      <c r="U75" s="143"/>
      <c r="AA75" s="134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P76" s="14"/>
      <c r="Q76" s="14"/>
      <c r="R76" s="14"/>
      <c r="S76" s="143"/>
      <c r="T76" s="14"/>
      <c r="U76" s="143"/>
      <c r="AA76" s="134"/>
    </row>
    <row r="77" spans="2:27" s="3" customFormat="1">
      <c r="B77" s="3" t="s">
        <v>89</v>
      </c>
      <c r="C77" s="14">
        <v>6</v>
      </c>
      <c r="D77" s="14">
        <v>0</v>
      </c>
      <c r="E77" s="14">
        <v>-5</v>
      </c>
      <c r="F77" s="14">
        <v>3</v>
      </c>
      <c r="G77" s="14">
        <v>2</v>
      </c>
      <c r="H77" s="14">
        <v>0</v>
      </c>
      <c r="I77" s="14">
        <v>0</v>
      </c>
      <c r="J77" s="14">
        <v>0</v>
      </c>
      <c r="P77" s="14"/>
      <c r="Q77" s="143"/>
      <c r="R77" s="14"/>
      <c r="S77" s="143"/>
      <c r="T77" s="14"/>
      <c r="U77" s="143"/>
      <c r="AA77" s="134"/>
    </row>
    <row r="78" spans="2:27" s="3" customFormat="1">
      <c r="B78" s="3" t="s">
        <v>90</v>
      </c>
      <c r="C78" s="14">
        <v>23</v>
      </c>
      <c r="D78" s="14">
        <v>6</v>
      </c>
      <c r="E78" s="14">
        <v>49</v>
      </c>
      <c r="F78" s="14">
        <v>25</v>
      </c>
      <c r="G78" s="14">
        <v>23</v>
      </c>
      <c r="H78" s="14">
        <v>7</v>
      </c>
      <c r="I78" s="14">
        <v>21</v>
      </c>
      <c r="J78" s="14">
        <v>22</v>
      </c>
      <c r="P78" s="14"/>
      <c r="Q78" s="14"/>
      <c r="R78" s="14"/>
      <c r="S78" s="143"/>
      <c r="T78" s="14"/>
      <c r="U78" s="143"/>
      <c r="AA78" s="134"/>
    </row>
    <row r="79" spans="2:27" s="3" customFormat="1">
      <c r="B79" s="3" t="s">
        <v>91</v>
      </c>
      <c r="C79" s="14">
        <v>9</v>
      </c>
      <c r="D79" s="14">
        <v>1</v>
      </c>
      <c r="E79" s="14">
        <v>8</v>
      </c>
      <c r="F79" s="14">
        <v>5</v>
      </c>
      <c r="G79" s="14">
        <v>4</v>
      </c>
      <c r="H79" s="14">
        <v>1</v>
      </c>
      <c r="I79" s="14">
        <v>3</v>
      </c>
      <c r="J79" s="14">
        <v>-15</v>
      </c>
      <c r="P79" s="14"/>
      <c r="Q79" s="143"/>
      <c r="R79" s="14"/>
      <c r="S79" s="143"/>
      <c r="T79" s="14"/>
      <c r="U79" s="143"/>
      <c r="AA79" s="134"/>
    </row>
    <row r="80" spans="2:27" s="3" customFormat="1">
      <c r="B80" s="3" t="s">
        <v>92</v>
      </c>
      <c r="C80" s="14">
        <v>15</v>
      </c>
      <c r="D80" s="14">
        <v>5</v>
      </c>
      <c r="E80" s="14">
        <v>41</v>
      </c>
      <c r="F80" s="14">
        <v>20</v>
      </c>
      <c r="G80" s="14">
        <v>20</v>
      </c>
      <c r="H80" s="14">
        <v>6</v>
      </c>
      <c r="I80" s="14">
        <v>17</v>
      </c>
      <c r="J80" s="14">
        <v>38</v>
      </c>
      <c r="P80" s="14"/>
      <c r="Q80" s="14"/>
      <c r="R80" s="14"/>
      <c r="S80" s="143"/>
      <c r="T80" s="14"/>
      <c r="U80" s="143"/>
      <c r="AA80" s="134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43"/>
      <c r="R81" s="14"/>
      <c r="S81" s="143"/>
      <c r="T81" s="14"/>
      <c r="U81" s="143"/>
      <c r="AA81" s="134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43"/>
      <c r="T82" s="14"/>
      <c r="U82" s="143"/>
      <c r="AA82" s="134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43"/>
      <c r="R83" s="14"/>
      <c r="S83" s="143"/>
      <c r="T83" s="14"/>
      <c r="U83" s="143"/>
      <c r="AA83" s="134"/>
    </row>
    <row r="84" spans="2:27" s="3" customFormat="1">
      <c r="B84" s="3" t="s">
        <v>96</v>
      </c>
      <c r="C84" s="14">
        <v>15</v>
      </c>
      <c r="D84" s="14">
        <v>5</v>
      </c>
      <c r="E84" s="14">
        <v>41</v>
      </c>
      <c r="F84" s="14">
        <v>20</v>
      </c>
      <c r="G84" s="14">
        <v>20</v>
      </c>
      <c r="H84" s="14">
        <v>6</v>
      </c>
      <c r="I84" s="14">
        <v>17</v>
      </c>
      <c r="J84" s="14">
        <v>38</v>
      </c>
      <c r="P84" s="14"/>
      <c r="Q84" s="14"/>
      <c r="R84" s="14"/>
      <c r="S84" s="143"/>
      <c r="T84" s="14"/>
      <c r="U84" s="143"/>
      <c r="AA84" s="134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43"/>
      <c r="R85" s="14"/>
      <c r="S85" s="143"/>
      <c r="T85" s="14"/>
      <c r="U85" s="143"/>
      <c r="AA85" s="134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43"/>
      <c r="T86" s="14"/>
      <c r="U86" s="143"/>
      <c r="AA86" s="134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43"/>
      <c r="R87" s="14"/>
      <c r="S87" s="143"/>
      <c r="T87" s="14"/>
      <c r="U87" s="143"/>
      <c r="AA87" s="134"/>
    </row>
    <row r="88" spans="2:27" s="3" customFormat="1">
      <c r="B88" s="3" t="s">
        <v>13</v>
      </c>
      <c r="C88" s="14">
        <v>15</v>
      </c>
      <c r="D88" s="14">
        <v>5</v>
      </c>
      <c r="E88" s="14">
        <v>41</v>
      </c>
      <c r="F88" s="14">
        <v>20</v>
      </c>
      <c r="G88" s="14">
        <v>20</v>
      </c>
      <c r="H88" s="14">
        <v>6</v>
      </c>
      <c r="I88" s="14">
        <v>17</v>
      </c>
      <c r="J88" s="14">
        <v>38</v>
      </c>
      <c r="P88" s="14"/>
      <c r="Q88" s="14"/>
      <c r="R88" s="14"/>
      <c r="S88" s="143"/>
      <c r="T88" s="14"/>
      <c r="U88" s="143"/>
      <c r="AA88" s="134"/>
    </row>
    <row r="89" spans="2:27" s="3" customFormat="1">
      <c r="B89" s="3" t="s">
        <v>14</v>
      </c>
      <c r="C89" s="14">
        <v>0.28000000000000003</v>
      </c>
      <c r="D89" s="14">
        <v>0.1</v>
      </c>
      <c r="E89" s="14">
        <v>0.8</v>
      </c>
      <c r="F89" s="14">
        <v>0.4</v>
      </c>
      <c r="G89" s="14">
        <v>0.38</v>
      </c>
      <c r="H89" s="14">
        <v>0.12</v>
      </c>
      <c r="I89" s="14">
        <v>0.34</v>
      </c>
      <c r="J89" s="14">
        <v>0.73</v>
      </c>
      <c r="P89" s="14"/>
      <c r="Q89" s="143"/>
      <c r="R89" s="14"/>
      <c r="S89" s="143"/>
      <c r="T89" s="14"/>
      <c r="U89" s="143"/>
      <c r="AA89" s="134"/>
    </row>
    <row r="90" spans="2:27" s="3" customFormat="1">
      <c r="B90" s="3" t="s">
        <v>101</v>
      </c>
      <c r="C90" s="14">
        <v>0.28000000000000003</v>
      </c>
      <c r="D90" s="14" t="s">
        <v>98</v>
      </c>
      <c r="E90" s="14">
        <v>0.8</v>
      </c>
      <c r="F90" s="14">
        <v>0.4</v>
      </c>
      <c r="G90" s="14">
        <v>0.38</v>
      </c>
      <c r="H90" s="14" t="s">
        <v>98</v>
      </c>
      <c r="I90" s="14">
        <v>0.34</v>
      </c>
      <c r="J90" s="14">
        <v>0.73</v>
      </c>
      <c r="P90" s="14"/>
      <c r="Q90" s="14"/>
      <c r="R90" s="14"/>
      <c r="S90" s="143"/>
      <c r="T90" s="14"/>
      <c r="U90" s="143"/>
      <c r="AA90" s="134"/>
    </row>
    <row r="91" spans="2:27" s="3" customFormat="1">
      <c r="B91" s="3" t="s">
        <v>102</v>
      </c>
      <c r="C91" s="14">
        <v>515</v>
      </c>
      <c r="D91" s="14">
        <v>515</v>
      </c>
      <c r="E91" s="14">
        <v>515</v>
      </c>
      <c r="F91" s="14">
        <v>515</v>
      </c>
      <c r="G91" s="14">
        <v>515</v>
      </c>
      <c r="H91" s="14">
        <v>515</v>
      </c>
      <c r="I91" s="14">
        <v>515</v>
      </c>
      <c r="J91" s="14">
        <v>515</v>
      </c>
      <c r="P91" s="14"/>
      <c r="Q91" s="143"/>
      <c r="R91" s="14"/>
      <c r="S91" s="143"/>
      <c r="T91" s="14"/>
      <c r="U91" s="143"/>
      <c r="AA91" s="134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43"/>
      <c r="T92" s="14"/>
      <c r="U92" s="143"/>
      <c r="AA92" s="134"/>
    </row>
    <row r="93" spans="2:27" s="3" customFormat="1">
      <c r="B93" s="3" t="s">
        <v>104</v>
      </c>
      <c r="C93" s="14" t="s">
        <v>98</v>
      </c>
      <c r="D93" s="14">
        <v>0</v>
      </c>
      <c r="E93" s="14" t="s">
        <v>98</v>
      </c>
      <c r="F93" s="14" t="s">
        <v>98</v>
      </c>
      <c r="G93" s="14" t="s">
        <v>98</v>
      </c>
      <c r="H93" s="14">
        <v>0</v>
      </c>
      <c r="I93" s="14" t="s">
        <v>98</v>
      </c>
      <c r="J93" s="14" t="s">
        <v>98</v>
      </c>
      <c r="P93" s="14"/>
      <c r="Q93" s="143"/>
      <c r="R93" s="14"/>
      <c r="S93" s="143"/>
      <c r="T93" s="14"/>
      <c r="U93" s="143"/>
      <c r="AA93" s="134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44"/>
      <c r="Q94" s="14"/>
      <c r="R94" s="14"/>
      <c r="S94" s="143"/>
      <c r="T94" s="14"/>
      <c r="U94" s="143"/>
      <c r="AA94" s="134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43"/>
      <c r="R95" s="14"/>
      <c r="S95" s="143"/>
      <c r="T95" s="14"/>
      <c r="U95" s="143"/>
      <c r="AA95" s="134"/>
    </row>
    <row r="96" spans="2:27" s="3" customFormat="1">
      <c r="B96" s="3" t="s">
        <v>107</v>
      </c>
      <c r="C96" s="14">
        <v>23</v>
      </c>
      <c r="D96" s="14">
        <v>6</v>
      </c>
      <c r="E96" s="14">
        <v>49</v>
      </c>
      <c r="F96" s="14">
        <v>25</v>
      </c>
      <c r="G96" s="14">
        <v>23</v>
      </c>
      <c r="H96" s="14">
        <v>7</v>
      </c>
      <c r="I96" s="14">
        <v>21</v>
      </c>
      <c r="J96" s="14">
        <v>22</v>
      </c>
      <c r="P96" s="144"/>
      <c r="Q96" s="14"/>
      <c r="R96" s="14"/>
      <c r="S96" s="143"/>
      <c r="T96" s="14"/>
      <c r="U96" s="143"/>
      <c r="AA96" s="134"/>
    </row>
    <row r="97" spans="2:27" s="3" customFormat="1">
      <c r="B97" s="3" t="s">
        <v>108</v>
      </c>
      <c r="C97" s="14">
        <v>31</v>
      </c>
      <c r="D97" s="14">
        <v>12</v>
      </c>
      <c r="E97" s="14">
        <v>55</v>
      </c>
      <c r="F97" s="14">
        <v>31</v>
      </c>
      <c r="G97" s="14">
        <v>28</v>
      </c>
      <c r="H97" s="14">
        <v>12</v>
      </c>
      <c r="I97" s="14">
        <v>26</v>
      </c>
      <c r="J97" s="14">
        <v>27</v>
      </c>
      <c r="P97" s="14"/>
      <c r="Q97" s="143"/>
      <c r="R97" s="14"/>
      <c r="S97" s="143"/>
      <c r="T97" s="14"/>
      <c r="U97" s="143"/>
      <c r="AA97" s="134"/>
    </row>
    <row r="98" spans="2:27" s="3" customFormat="1">
      <c r="B98" s="3" t="s">
        <v>109</v>
      </c>
      <c r="C98" s="14">
        <v>14</v>
      </c>
      <c r="D98" s="14">
        <v>5</v>
      </c>
      <c r="E98" s="14">
        <v>41</v>
      </c>
      <c r="F98" s="14">
        <v>20</v>
      </c>
      <c r="G98" s="14">
        <v>19</v>
      </c>
      <c r="H98" s="14">
        <v>6</v>
      </c>
      <c r="I98" s="14">
        <v>17</v>
      </c>
      <c r="J98" s="14">
        <v>38</v>
      </c>
      <c r="P98" s="144"/>
      <c r="Q98" s="14"/>
      <c r="R98" s="14"/>
      <c r="S98" s="143"/>
      <c r="T98" s="14"/>
      <c r="U98" s="143"/>
      <c r="AA98" s="134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43"/>
      <c r="R99" s="14"/>
      <c r="S99" s="143"/>
      <c r="T99" s="14"/>
      <c r="U99" s="143"/>
      <c r="AA99" s="134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44"/>
      <c r="Q100" s="14"/>
      <c r="R100" s="14"/>
      <c r="T100" s="14"/>
      <c r="AA100" s="134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43"/>
      <c r="T101" s="14"/>
      <c r="AA101" s="134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44"/>
      <c r="Q102" s="14"/>
      <c r="R102" s="14"/>
      <c r="T102" s="14"/>
      <c r="AA102" s="134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43"/>
      <c r="T103" s="14"/>
      <c r="AA103" s="134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44"/>
      <c r="Q104" s="14"/>
      <c r="R104" s="14"/>
      <c r="T104" s="14"/>
      <c r="AA104" s="134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43"/>
      <c r="T105" s="14"/>
      <c r="AA105" s="134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44"/>
      <c r="Q106" s="14"/>
      <c r="R106" s="14"/>
      <c r="T106" s="14"/>
      <c r="AA106" s="134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43"/>
      <c r="T107" s="14"/>
      <c r="AA107" s="134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44"/>
      <c r="Q108" s="14"/>
      <c r="R108" s="14"/>
      <c r="T108" s="14"/>
      <c r="AA108" s="134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43"/>
      <c r="T109" s="14"/>
      <c r="AA109" s="134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44"/>
      <c r="Q110" s="14"/>
      <c r="R110" s="14"/>
      <c r="T110" s="14"/>
      <c r="AA110" s="134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34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44"/>
      <c r="Q112" s="14"/>
      <c r="R112" s="14"/>
      <c r="T112" s="14"/>
      <c r="AA112" s="134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34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44"/>
      <c r="Q114" s="14"/>
      <c r="R114" s="14"/>
      <c r="T114" s="14"/>
      <c r="AA114" s="134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34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44"/>
      <c r="Q116" s="14"/>
      <c r="R116" s="14"/>
      <c r="T116" s="14"/>
      <c r="AA116" s="134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34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44"/>
      <c r="Q118" s="14"/>
      <c r="R118" s="14"/>
      <c r="T118" s="14"/>
      <c r="AA118" s="134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34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34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34"/>
    </row>
    <row r="122" spans="2:27" s="3" customFormat="1">
      <c r="B122" s="3" t="s">
        <v>2379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34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34"/>
    </row>
    <row r="124" spans="2:27" s="3" customFormat="1">
      <c r="B124" s="3" t="s">
        <v>48</v>
      </c>
      <c r="C124" s="14" t="s">
        <v>2375</v>
      </c>
      <c r="D124" s="14" t="s">
        <v>2376</v>
      </c>
      <c r="E124" s="14" t="s">
        <v>2267</v>
      </c>
      <c r="F124" s="14" t="s">
        <v>226</v>
      </c>
      <c r="G124" s="14" t="s">
        <v>49</v>
      </c>
      <c r="H124" s="14" t="s">
        <v>50</v>
      </c>
      <c r="I124" s="14" t="s">
        <v>51</v>
      </c>
      <c r="J124" s="14" t="s">
        <v>52</v>
      </c>
      <c r="P124" s="144"/>
      <c r="Q124" s="14"/>
      <c r="R124" s="14"/>
      <c r="T124" s="14"/>
      <c r="AA124" s="134"/>
    </row>
    <row r="125" spans="2:27" s="3" customFormat="1">
      <c r="B125" s="3" t="s">
        <v>152</v>
      </c>
      <c r="C125" s="14">
        <v>79</v>
      </c>
      <c r="D125" s="14">
        <v>75</v>
      </c>
      <c r="E125" s="14">
        <v>62</v>
      </c>
      <c r="F125" s="14">
        <v>72</v>
      </c>
      <c r="G125" s="14">
        <v>89</v>
      </c>
      <c r="H125" s="14">
        <v>50</v>
      </c>
      <c r="I125" s="14">
        <v>64</v>
      </c>
      <c r="J125" s="14">
        <v>32</v>
      </c>
      <c r="AA125" s="134"/>
    </row>
    <row r="126" spans="2:27" s="3" customFormat="1">
      <c r="B126" s="3" t="s">
        <v>153</v>
      </c>
      <c r="C126" s="14">
        <v>125</v>
      </c>
      <c r="D126" s="14">
        <v>150</v>
      </c>
      <c r="E126" s="14">
        <v>156</v>
      </c>
      <c r="F126" s="14">
        <v>81</v>
      </c>
      <c r="G126" s="14">
        <v>35</v>
      </c>
      <c r="H126" s="14">
        <v>55</v>
      </c>
      <c r="I126" s="14">
        <v>30</v>
      </c>
      <c r="J126" s="14">
        <v>53</v>
      </c>
      <c r="P126" s="144"/>
      <c r="Q126" s="14"/>
      <c r="R126" s="14"/>
      <c r="T126" s="14"/>
      <c r="AA126" s="134"/>
    </row>
    <row r="127" spans="2:27" s="3" customFormat="1">
      <c r="B127" s="3" t="s">
        <v>190</v>
      </c>
      <c r="C127" s="14">
        <v>169</v>
      </c>
      <c r="D127" s="14">
        <v>124</v>
      </c>
      <c r="E127" s="14">
        <v>147</v>
      </c>
      <c r="F127" s="14">
        <v>159</v>
      </c>
      <c r="G127" s="14">
        <v>146</v>
      </c>
      <c r="H127" s="14">
        <v>104</v>
      </c>
      <c r="I127" s="14">
        <v>124</v>
      </c>
      <c r="J127" s="14">
        <v>118</v>
      </c>
      <c r="AA127" s="134"/>
    </row>
    <row r="128" spans="2:27" s="3" customFormat="1">
      <c r="B128" s="3" t="s">
        <v>154</v>
      </c>
      <c r="C128" s="14">
        <v>6</v>
      </c>
      <c r="D128" s="14">
        <v>3</v>
      </c>
      <c r="E128" s="14">
        <v>4</v>
      </c>
      <c r="F128" s="14">
        <v>4</v>
      </c>
      <c r="G128" s="14">
        <v>3</v>
      </c>
      <c r="H128" s="14">
        <v>2</v>
      </c>
      <c r="I128" s="14">
        <v>12</v>
      </c>
      <c r="J128" s="14">
        <v>8</v>
      </c>
      <c r="P128" s="144"/>
      <c r="Q128" s="14"/>
      <c r="R128" s="14"/>
      <c r="T128" s="14"/>
      <c r="AA128" s="134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34"/>
    </row>
    <row r="130" spans="2:27" s="3" customFormat="1">
      <c r="B130" s="3" t="s">
        <v>15</v>
      </c>
      <c r="C130" s="14">
        <v>215</v>
      </c>
      <c r="D130" s="14">
        <v>140</v>
      </c>
      <c r="E130" s="14">
        <v>141</v>
      </c>
      <c r="F130" s="14">
        <v>141</v>
      </c>
      <c r="G130" s="14">
        <v>150</v>
      </c>
      <c r="H130" s="14">
        <v>150</v>
      </c>
      <c r="I130" s="14">
        <v>164</v>
      </c>
      <c r="J130" s="14">
        <v>159</v>
      </c>
      <c r="P130" s="144"/>
      <c r="Q130" s="14"/>
      <c r="R130" s="14"/>
      <c r="T130" s="14"/>
      <c r="AA130" s="134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34"/>
    </row>
    <row r="132" spans="2:27" s="3" customFormat="1">
      <c r="B132" s="3" t="s">
        <v>155</v>
      </c>
      <c r="C132" s="14">
        <v>8</v>
      </c>
      <c r="D132" s="14">
        <v>6</v>
      </c>
      <c r="E132" s="14">
        <v>6</v>
      </c>
      <c r="F132" s="14">
        <v>4</v>
      </c>
      <c r="G132" s="14">
        <v>5</v>
      </c>
      <c r="H132" s="14">
        <v>4</v>
      </c>
      <c r="I132" s="14">
        <v>3</v>
      </c>
      <c r="J132" s="14">
        <v>5</v>
      </c>
      <c r="P132" s="144"/>
      <c r="Q132" s="14"/>
      <c r="R132" s="14"/>
      <c r="T132" s="14"/>
      <c r="AA132" s="134"/>
    </row>
    <row r="133" spans="2:27" s="3" customFormat="1">
      <c r="B133" s="3" t="s">
        <v>156</v>
      </c>
      <c r="C133" s="14">
        <v>4</v>
      </c>
      <c r="D133" s="14">
        <v>5</v>
      </c>
      <c r="E133" s="14">
        <v>6</v>
      </c>
      <c r="F133" s="14">
        <v>3</v>
      </c>
      <c r="G133" s="14">
        <v>3</v>
      </c>
      <c r="H133" s="14">
        <v>2</v>
      </c>
      <c r="I133" s="14">
        <v>2</v>
      </c>
      <c r="J133" s="14">
        <v>2</v>
      </c>
      <c r="AA133" s="134"/>
    </row>
    <row r="134" spans="2:27" s="3" customFormat="1">
      <c r="B134" s="3" t="s">
        <v>157</v>
      </c>
      <c r="C134" s="14">
        <v>614</v>
      </c>
      <c r="D134" s="14">
        <v>510</v>
      </c>
      <c r="E134" s="14">
        <v>529</v>
      </c>
      <c r="F134" s="14">
        <v>472</v>
      </c>
      <c r="G134" s="14">
        <v>437</v>
      </c>
      <c r="H134" s="14">
        <v>375</v>
      </c>
      <c r="I134" s="14">
        <v>398</v>
      </c>
      <c r="J134" s="14">
        <v>377</v>
      </c>
      <c r="P134" s="144"/>
      <c r="Q134" s="14"/>
      <c r="R134" s="14"/>
      <c r="T134" s="14"/>
      <c r="AA134" s="134"/>
    </row>
    <row r="135" spans="2:27" s="3" customFormat="1">
      <c r="B135" s="3" t="s">
        <v>158</v>
      </c>
      <c r="C135" s="14">
        <v>4</v>
      </c>
      <c r="D135" s="14">
        <v>4</v>
      </c>
      <c r="E135" s="14">
        <v>4</v>
      </c>
      <c r="F135" s="14">
        <v>4</v>
      </c>
      <c r="G135" s="14">
        <v>4</v>
      </c>
      <c r="H135" s="14">
        <v>4</v>
      </c>
      <c r="I135" s="14">
        <v>4</v>
      </c>
      <c r="J135" s="14">
        <v>4</v>
      </c>
      <c r="AA135" s="134"/>
    </row>
    <row r="136" spans="2:27" s="3" customFormat="1">
      <c r="B136" s="3" t="s">
        <v>159</v>
      </c>
      <c r="C136" s="14" t="s">
        <v>98</v>
      </c>
      <c r="D136" s="14">
        <v>86</v>
      </c>
      <c r="E136" s="14" t="s">
        <v>98</v>
      </c>
      <c r="F136" s="14" t="s">
        <v>98</v>
      </c>
      <c r="G136" s="14" t="s">
        <v>98</v>
      </c>
      <c r="H136" s="14">
        <v>86</v>
      </c>
      <c r="I136" s="14" t="s">
        <v>98</v>
      </c>
      <c r="J136" s="14" t="s">
        <v>98</v>
      </c>
      <c r="P136" s="144"/>
      <c r="Q136" s="14"/>
      <c r="R136" s="14"/>
      <c r="T136" s="14"/>
      <c r="AA136" s="134"/>
    </row>
    <row r="137" spans="2:27" s="3" customFormat="1">
      <c r="B137" s="3" t="s">
        <v>160</v>
      </c>
      <c r="C137" s="14" t="s">
        <v>98</v>
      </c>
      <c r="D137" s="14">
        <v>154</v>
      </c>
      <c r="E137" s="14" t="s">
        <v>98</v>
      </c>
      <c r="F137" s="14" t="s">
        <v>98</v>
      </c>
      <c r="G137" s="14" t="s">
        <v>98</v>
      </c>
      <c r="H137" s="14">
        <v>153</v>
      </c>
      <c r="I137" s="14" t="s">
        <v>98</v>
      </c>
      <c r="J137" s="14" t="s">
        <v>98</v>
      </c>
      <c r="AA137" s="134"/>
    </row>
    <row r="138" spans="2:27" s="3" customFormat="1">
      <c r="B138" s="3" t="s">
        <v>161</v>
      </c>
      <c r="C138" s="14" t="s">
        <v>98</v>
      </c>
      <c r="D138" s="14">
        <v>198</v>
      </c>
      <c r="E138" s="14" t="s">
        <v>98</v>
      </c>
      <c r="F138" s="14" t="s">
        <v>98</v>
      </c>
      <c r="G138" s="14" t="s">
        <v>98</v>
      </c>
      <c r="H138" s="14">
        <v>172</v>
      </c>
      <c r="I138" s="14" t="s">
        <v>98</v>
      </c>
      <c r="J138" s="14" t="s">
        <v>98</v>
      </c>
      <c r="P138" s="144"/>
      <c r="Q138" s="14"/>
      <c r="R138" s="14"/>
      <c r="T138" s="14"/>
      <c r="AA138" s="134"/>
    </row>
    <row r="139" spans="2:27" s="3" customFormat="1">
      <c r="B139" s="3" t="s">
        <v>162</v>
      </c>
      <c r="C139" s="14" t="s">
        <v>98</v>
      </c>
      <c r="D139" s="14">
        <v>56</v>
      </c>
      <c r="E139" s="14" t="s">
        <v>98</v>
      </c>
      <c r="F139" s="14" t="s">
        <v>98</v>
      </c>
      <c r="G139" s="14" t="s">
        <v>98</v>
      </c>
      <c r="H139" s="14">
        <v>55</v>
      </c>
      <c r="I139" s="14" t="s">
        <v>98</v>
      </c>
      <c r="J139" s="14" t="s">
        <v>98</v>
      </c>
      <c r="AA139" s="134"/>
    </row>
    <row r="140" spans="2:27" s="3" customFormat="1">
      <c r="B140" s="3" t="s">
        <v>163</v>
      </c>
      <c r="C140" s="14" t="s">
        <v>98</v>
      </c>
      <c r="D140" s="14">
        <v>0</v>
      </c>
      <c r="E140" s="14" t="s">
        <v>98</v>
      </c>
      <c r="F140" s="14" t="s">
        <v>98</v>
      </c>
      <c r="G140" s="14" t="s">
        <v>98</v>
      </c>
      <c r="H140" s="14">
        <v>0</v>
      </c>
      <c r="I140" s="14" t="s">
        <v>98</v>
      </c>
      <c r="J140" s="14" t="s">
        <v>98</v>
      </c>
      <c r="P140" s="144"/>
      <c r="Q140" s="14"/>
      <c r="R140" s="14"/>
      <c r="T140" s="14"/>
      <c r="AA140" s="134"/>
    </row>
    <row r="141" spans="2:27" s="3" customFormat="1">
      <c r="B141" s="3" t="s">
        <v>164</v>
      </c>
      <c r="C141" s="14" t="s">
        <v>98</v>
      </c>
      <c r="D141" s="14">
        <v>-242</v>
      </c>
      <c r="E141" s="14" t="s">
        <v>98</v>
      </c>
      <c r="F141" s="14" t="s">
        <v>98</v>
      </c>
      <c r="G141" s="14" t="s">
        <v>98</v>
      </c>
      <c r="H141" s="14">
        <v>-229</v>
      </c>
      <c r="I141" s="14" t="s">
        <v>98</v>
      </c>
      <c r="J141" s="14" t="s">
        <v>98</v>
      </c>
      <c r="AA141" s="134"/>
    </row>
    <row r="142" spans="2:27" s="3" customFormat="1">
      <c r="B142" s="3" t="s">
        <v>165</v>
      </c>
      <c r="C142" s="14" t="s">
        <v>98</v>
      </c>
      <c r="D142" s="14">
        <v>0</v>
      </c>
      <c r="E142" s="14" t="s">
        <v>98</v>
      </c>
      <c r="F142" s="14" t="s">
        <v>98</v>
      </c>
      <c r="G142" s="14" t="s">
        <v>98</v>
      </c>
      <c r="H142" s="14">
        <v>0</v>
      </c>
      <c r="I142" s="14" t="s">
        <v>98</v>
      </c>
      <c r="J142" s="14" t="s">
        <v>98</v>
      </c>
      <c r="P142" s="144"/>
      <c r="Q142" s="14"/>
      <c r="R142" s="14"/>
      <c r="T142" s="14"/>
      <c r="AA142" s="134"/>
    </row>
    <row r="143" spans="2:27" s="3" customFormat="1">
      <c r="B143" s="3" t="s">
        <v>166</v>
      </c>
      <c r="C143" s="14" t="s">
        <v>98</v>
      </c>
      <c r="D143" s="14">
        <v>0</v>
      </c>
      <c r="E143" s="14" t="s">
        <v>98</v>
      </c>
      <c r="F143" s="14" t="s">
        <v>98</v>
      </c>
      <c r="G143" s="14" t="s">
        <v>98</v>
      </c>
      <c r="H143" s="14">
        <v>0</v>
      </c>
      <c r="I143" s="14" t="s">
        <v>98</v>
      </c>
      <c r="J143" s="14" t="s">
        <v>98</v>
      </c>
      <c r="AA143" s="134"/>
    </row>
    <row r="144" spans="2:27" s="3" customFormat="1">
      <c r="B144" s="3" t="s">
        <v>167</v>
      </c>
      <c r="C144" s="14">
        <v>250</v>
      </c>
      <c r="D144" s="14">
        <v>253</v>
      </c>
      <c r="E144" s="14">
        <v>234</v>
      </c>
      <c r="F144" s="14">
        <v>235</v>
      </c>
      <c r="G144" s="14">
        <v>236</v>
      </c>
      <c r="H144" s="14">
        <v>237</v>
      </c>
      <c r="I144" s="14">
        <v>232</v>
      </c>
      <c r="J144" s="14">
        <v>231</v>
      </c>
      <c r="P144" s="144"/>
      <c r="Q144" s="14"/>
      <c r="R144" s="14"/>
      <c r="T144" s="14"/>
      <c r="AA144" s="134"/>
    </row>
    <row r="145" spans="2:27" s="3" customFormat="1">
      <c r="B145" s="3" t="s">
        <v>168</v>
      </c>
      <c r="C145" s="14">
        <v>8</v>
      </c>
      <c r="D145" s="14">
        <v>8</v>
      </c>
      <c r="E145" s="14">
        <v>9</v>
      </c>
      <c r="F145" s="14">
        <v>16</v>
      </c>
      <c r="G145" s="14">
        <v>21</v>
      </c>
      <c r="H145" s="14">
        <v>25</v>
      </c>
      <c r="I145" s="14">
        <v>26</v>
      </c>
      <c r="J145" s="14">
        <v>29</v>
      </c>
      <c r="AA145" s="134"/>
    </row>
    <row r="146" spans="2:27" s="3" customFormat="1">
      <c r="B146" s="3" t="s">
        <v>169</v>
      </c>
      <c r="C146" s="14">
        <v>1</v>
      </c>
      <c r="D146" s="14">
        <v>1</v>
      </c>
      <c r="E146" s="14">
        <v>1</v>
      </c>
      <c r="F146" s="14">
        <v>1</v>
      </c>
      <c r="G146" s="14">
        <v>2</v>
      </c>
      <c r="H146" s="14">
        <v>2</v>
      </c>
      <c r="I146" s="14">
        <v>2</v>
      </c>
      <c r="J146" s="14">
        <v>2</v>
      </c>
      <c r="P146" s="144"/>
      <c r="Q146" s="14"/>
      <c r="R146" s="14"/>
      <c r="T146" s="14"/>
      <c r="AA146" s="134"/>
    </row>
    <row r="147" spans="2:27" s="3" customFormat="1">
      <c r="B147" s="3" t="s">
        <v>170</v>
      </c>
      <c r="C147" s="14">
        <v>3</v>
      </c>
      <c r="D147" s="14">
        <v>4</v>
      </c>
      <c r="E147" s="14">
        <v>4</v>
      </c>
      <c r="F147" s="14">
        <v>5</v>
      </c>
      <c r="G147" s="14">
        <v>6</v>
      </c>
      <c r="H147" s="14">
        <v>7</v>
      </c>
      <c r="I147" s="14">
        <v>7</v>
      </c>
      <c r="J147" s="14">
        <v>6</v>
      </c>
      <c r="AA147" s="134"/>
    </row>
    <row r="148" spans="2:27" s="3" customFormat="1">
      <c r="B148" s="3" t="s">
        <v>171</v>
      </c>
      <c r="C148" s="14">
        <v>12</v>
      </c>
      <c r="D148" s="14">
        <v>13</v>
      </c>
      <c r="E148" s="14">
        <v>15</v>
      </c>
      <c r="F148" s="14">
        <v>23</v>
      </c>
      <c r="G148" s="14">
        <v>28</v>
      </c>
      <c r="H148" s="14">
        <v>33</v>
      </c>
      <c r="I148" s="14">
        <v>35</v>
      </c>
      <c r="J148" s="14">
        <v>37</v>
      </c>
      <c r="P148" s="144"/>
      <c r="Q148" s="14"/>
      <c r="R148" s="14"/>
      <c r="T148" s="14"/>
      <c r="AA148" s="134"/>
    </row>
    <row r="149" spans="2:27" s="3" customFormat="1">
      <c r="B149" s="3" t="s">
        <v>18</v>
      </c>
      <c r="C149" s="14">
        <v>879</v>
      </c>
      <c r="D149" s="14">
        <v>781</v>
      </c>
      <c r="E149" s="14">
        <v>782</v>
      </c>
      <c r="F149" s="14">
        <v>733</v>
      </c>
      <c r="G149" s="14">
        <v>704</v>
      </c>
      <c r="H149" s="14">
        <v>648</v>
      </c>
      <c r="I149" s="14">
        <v>668</v>
      </c>
      <c r="J149" s="14">
        <v>649</v>
      </c>
      <c r="AA149" s="134"/>
    </row>
    <row r="150" spans="2:27" s="3" customFormat="1">
      <c r="B150" s="3" t="s">
        <v>193</v>
      </c>
      <c r="C150" s="14">
        <v>0</v>
      </c>
      <c r="D150" s="14">
        <v>0</v>
      </c>
      <c r="E150" s="14">
        <v>0</v>
      </c>
      <c r="F150" s="14">
        <v>0</v>
      </c>
      <c r="G150" s="14">
        <v>0</v>
      </c>
      <c r="H150" s="14">
        <v>0</v>
      </c>
      <c r="I150" s="14">
        <v>0</v>
      </c>
      <c r="J150" s="14">
        <v>0</v>
      </c>
      <c r="P150" s="144"/>
      <c r="Q150" s="14"/>
      <c r="R150" s="14"/>
      <c r="T150" s="14"/>
      <c r="AA150" s="134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34"/>
    </row>
    <row r="152" spans="2:27" s="3" customFormat="1">
      <c r="B152" s="3" t="s">
        <v>16</v>
      </c>
      <c r="C152" s="14">
        <v>200</v>
      </c>
      <c r="D152" s="14">
        <v>115</v>
      </c>
      <c r="E152" s="14">
        <v>132</v>
      </c>
      <c r="F152" s="14">
        <v>133</v>
      </c>
      <c r="G152" s="14">
        <v>118</v>
      </c>
      <c r="H152" s="14">
        <v>79</v>
      </c>
      <c r="I152" s="14">
        <v>113</v>
      </c>
      <c r="J152" s="14">
        <v>114</v>
      </c>
      <c r="P152" s="144"/>
      <c r="Q152" s="14"/>
      <c r="R152" s="14"/>
      <c r="T152" s="14"/>
      <c r="AA152" s="134"/>
    </row>
    <row r="153" spans="2:27" s="3" customFormat="1">
      <c r="B153" s="3" t="s">
        <v>172</v>
      </c>
      <c r="C153" s="14">
        <v>7</v>
      </c>
      <c r="D153" s="14">
        <v>11</v>
      </c>
      <c r="E153" s="14">
        <v>9</v>
      </c>
      <c r="F153" s="14">
        <v>8</v>
      </c>
      <c r="G153" s="14">
        <v>7</v>
      </c>
      <c r="H153" s="14">
        <v>10</v>
      </c>
      <c r="I153" s="14">
        <v>9</v>
      </c>
      <c r="J153" s="14">
        <v>7</v>
      </c>
      <c r="AA153" s="134"/>
    </row>
    <row r="154" spans="2:27" s="3" customFormat="1">
      <c r="B154" s="3" t="s">
        <v>173</v>
      </c>
      <c r="C154" s="14">
        <v>6</v>
      </c>
      <c r="D154" s="14">
        <v>6</v>
      </c>
      <c r="E154" s="14">
        <v>6</v>
      </c>
      <c r="F154" s="14">
        <v>3</v>
      </c>
      <c r="G154" s="14">
        <v>3</v>
      </c>
      <c r="H154" s="14">
        <v>3</v>
      </c>
      <c r="I154" s="14">
        <v>3</v>
      </c>
      <c r="J154" s="14">
        <v>3</v>
      </c>
      <c r="P154" s="144"/>
      <c r="Q154" s="14"/>
      <c r="R154" s="14"/>
      <c r="T154" s="14"/>
      <c r="AA154" s="134"/>
    </row>
    <row r="155" spans="2:27" s="3" customFormat="1">
      <c r="B155" s="3" t="s">
        <v>174</v>
      </c>
      <c r="C155" s="14">
        <v>22</v>
      </c>
      <c r="D155" s="14">
        <v>24</v>
      </c>
      <c r="E155" s="14">
        <v>14</v>
      </c>
      <c r="F155" s="14">
        <v>12</v>
      </c>
      <c r="G155" s="14">
        <v>21</v>
      </c>
      <c r="H155" s="14">
        <v>19</v>
      </c>
      <c r="I155" s="14">
        <v>12</v>
      </c>
      <c r="J155" s="14">
        <v>11</v>
      </c>
      <c r="AA155" s="134"/>
    </row>
    <row r="156" spans="2:27" s="3" customFormat="1">
      <c r="B156" s="3" t="s">
        <v>175</v>
      </c>
      <c r="C156" s="14">
        <v>10</v>
      </c>
      <c r="D156" s="14">
        <v>1</v>
      </c>
      <c r="E156" s="14">
        <v>1</v>
      </c>
      <c r="F156" s="14">
        <v>1</v>
      </c>
      <c r="G156" s="14">
        <v>0</v>
      </c>
      <c r="H156" s="14">
        <v>0</v>
      </c>
      <c r="I156" s="14">
        <v>0</v>
      </c>
      <c r="J156" s="14">
        <v>0</v>
      </c>
      <c r="P156" s="144"/>
      <c r="Q156" s="14"/>
      <c r="R156" s="14"/>
      <c r="T156" s="14"/>
      <c r="AA156" s="134"/>
    </row>
    <row r="157" spans="2:27" s="3" customFormat="1">
      <c r="B157" s="3" t="s">
        <v>176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  <c r="AA157" s="134"/>
    </row>
    <row r="158" spans="2:27" s="3" customFormat="1">
      <c r="B158" s="3" t="s">
        <v>177</v>
      </c>
      <c r="C158" s="14">
        <v>1</v>
      </c>
      <c r="D158" s="14">
        <v>1</v>
      </c>
      <c r="E158" s="14">
        <v>1</v>
      </c>
      <c r="F158" s="14">
        <v>1</v>
      </c>
      <c r="G158" s="14">
        <v>1</v>
      </c>
      <c r="H158" s="14">
        <v>1</v>
      </c>
      <c r="I158" s="14">
        <v>2</v>
      </c>
      <c r="J158" s="14">
        <v>2</v>
      </c>
      <c r="P158" s="144"/>
      <c r="Q158" s="14"/>
      <c r="R158" s="14"/>
      <c r="T158" s="14"/>
      <c r="AA158" s="134"/>
    </row>
    <row r="159" spans="2:27" s="3" customFormat="1">
      <c r="B159" s="3" t="s">
        <v>178</v>
      </c>
      <c r="C159" s="14">
        <v>247</v>
      </c>
      <c r="D159" s="14">
        <v>158</v>
      </c>
      <c r="E159" s="14">
        <v>163</v>
      </c>
      <c r="F159" s="14">
        <v>158</v>
      </c>
      <c r="G159" s="14">
        <v>149</v>
      </c>
      <c r="H159" s="14">
        <v>111</v>
      </c>
      <c r="I159" s="14">
        <v>139</v>
      </c>
      <c r="J159" s="14">
        <v>138</v>
      </c>
      <c r="AA159" s="134"/>
    </row>
    <row r="160" spans="2:27" s="3" customFormat="1">
      <c r="B160" s="3" t="s">
        <v>179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P160" s="144"/>
      <c r="Q160" s="14"/>
      <c r="R160" s="14"/>
      <c r="T160" s="14"/>
      <c r="AA160" s="134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34"/>
    </row>
    <row r="162" spans="2:27" s="3" customFormat="1">
      <c r="B162" s="3" t="s">
        <v>181</v>
      </c>
      <c r="C162" s="14">
        <v>9</v>
      </c>
      <c r="D162" s="14">
        <v>13</v>
      </c>
      <c r="E162" s="14">
        <v>11</v>
      </c>
      <c r="F162" s="14">
        <v>11</v>
      </c>
      <c r="G162" s="14">
        <v>11</v>
      </c>
      <c r="H162" s="14">
        <v>11</v>
      </c>
      <c r="I162" s="14">
        <v>11</v>
      </c>
      <c r="J162" s="14">
        <v>11</v>
      </c>
      <c r="P162" s="144"/>
      <c r="Q162" s="14"/>
      <c r="R162" s="14"/>
      <c r="T162" s="14"/>
      <c r="AA162" s="134"/>
    </row>
    <row r="163" spans="2:27" s="3" customFormat="1">
      <c r="B163" s="3" t="s">
        <v>182</v>
      </c>
      <c r="C163" s="14">
        <v>0</v>
      </c>
      <c r="D163" s="14">
        <v>1</v>
      </c>
      <c r="E163" s="14">
        <v>1</v>
      </c>
      <c r="F163" s="14">
        <v>0</v>
      </c>
      <c r="G163" s="14">
        <v>0</v>
      </c>
      <c r="H163" s="14">
        <v>1</v>
      </c>
      <c r="I163" s="14">
        <v>0</v>
      </c>
      <c r="J163" s="14">
        <v>0</v>
      </c>
      <c r="AA163" s="134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44"/>
      <c r="Q164" s="14"/>
      <c r="R164" s="14"/>
      <c r="T164" s="14"/>
      <c r="AA164" s="134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34"/>
    </row>
    <row r="166" spans="2:27" s="3" customFormat="1">
      <c r="B166" s="3" t="s">
        <v>185</v>
      </c>
      <c r="C166" s="14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4">
        <v>0</v>
      </c>
      <c r="P166" s="144"/>
      <c r="Q166" s="14"/>
      <c r="R166" s="14"/>
      <c r="T166" s="14"/>
      <c r="AA166" s="134"/>
    </row>
    <row r="167" spans="2:27" s="3" customFormat="1">
      <c r="B167" s="3" t="s">
        <v>186</v>
      </c>
      <c r="C167" s="14">
        <v>9</v>
      </c>
      <c r="D167" s="14">
        <v>13</v>
      </c>
      <c r="E167" s="14">
        <v>13</v>
      </c>
      <c r="F167" s="14">
        <v>11</v>
      </c>
      <c r="G167" s="14">
        <v>11</v>
      </c>
      <c r="H167" s="14">
        <v>12</v>
      </c>
      <c r="I167" s="14">
        <v>12</v>
      </c>
      <c r="J167" s="14">
        <v>11</v>
      </c>
      <c r="AA167" s="134"/>
    </row>
    <row r="168" spans="2:27" s="3" customFormat="1">
      <c r="B168" s="3" t="s">
        <v>17</v>
      </c>
      <c r="C168" s="14">
        <v>256</v>
      </c>
      <c r="D168" s="14">
        <v>171</v>
      </c>
      <c r="E168" s="14">
        <v>176</v>
      </c>
      <c r="F168" s="14">
        <v>169</v>
      </c>
      <c r="G168" s="14">
        <v>160</v>
      </c>
      <c r="H168" s="14">
        <v>124</v>
      </c>
      <c r="I168" s="14">
        <v>151</v>
      </c>
      <c r="J168" s="14">
        <v>149</v>
      </c>
      <c r="P168" s="144"/>
      <c r="Q168" s="14"/>
      <c r="R168" s="14"/>
      <c r="T168" s="14"/>
      <c r="AA168" s="134"/>
    </row>
    <row r="169" spans="2:27" s="3" customFormat="1">
      <c r="B169" s="3" t="s">
        <v>187</v>
      </c>
      <c r="C169" s="14">
        <v>624</v>
      </c>
      <c r="D169" s="14">
        <v>609</v>
      </c>
      <c r="E169" s="14">
        <v>606</v>
      </c>
      <c r="F169" s="14">
        <v>564</v>
      </c>
      <c r="G169" s="14">
        <v>544</v>
      </c>
      <c r="H169" s="14">
        <v>525</v>
      </c>
      <c r="I169" s="14">
        <v>517</v>
      </c>
      <c r="J169" s="14">
        <v>500</v>
      </c>
      <c r="AA169" s="134"/>
    </row>
    <row r="170" spans="2:27" s="3" customFormat="1">
      <c r="B170" s="3" t="s">
        <v>195</v>
      </c>
      <c r="C170" s="14">
        <v>515</v>
      </c>
      <c r="D170" s="14">
        <v>515</v>
      </c>
      <c r="E170" s="14">
        <v>515</v>
      </c>
      <c r="F170" s="14">
        <v>515</v>
      </c>
      <c r="G170" s="14">
        <v>515</v>
      </c>
      <c r="H170" s="14">
        <v>515</v>
      </c>
      <c r="I170" s="14">
        <v>515</v>
      </c>
      <c r="J170" s="14">
        <v>515</v>
      </c>
      <c r="P170" s="144"/>
      <c r="Q170" s="14"/>
      <c r="R170" s="14"/>
      <c r="T170" s="14"/>
      <c r="AA170" s="134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34"/>
    </row>
    <row r="172" spans="2:27" s="3" customFormat="1">
      <c r="B172" s="3" t="s">
        <v>197</v>
      </c>
      <c r="C172" s="14">
        <v>0</v>
      </c>
      <c r="D172" s="14">
        <v>0</v>
      </c>
      <c r="E172" s="14">
        <v>0</v>
      </c>
      <c r="F172" s="14">
        <v>0</v>
      </c>
      <c r="G172" s="14">
        <v>0</v>
      </c>
      <c r="H172" s="14">
        <v>0</v>
      </c>
      <c r="I172" s="14">
        <v>0</v>
      </c>
      <c r="J172" s="14">
        <v>0</v>
      </c>
      <c r="P172" s="144"/>
      <c r="Q172" s="14"/>
      <c r="R172" s="14"/>
      <c r="T172" s="14"/>
      <c r="AA172" s="134"/>
    </row>
    <row r="173" spans="2:27" s="3" customFormat="1">
      <c r="B173" s="3" t="s">
        <v>198</v>
      </c>
      <c r="C173" s="14">
        <v>1</v>
      </c>
      <c r="D173" s="14">
        <v>1</v>
      </c>
      <c r="E173" s="14">
        <v>1</v>
      </c>
      <c r="F173" s="14">
        <v>1</v>
      </c>
      <c r="G173" s="14">
        <v>0</v>
      </c>
      <c r="H173" s="14">
        <v>0</v>
      </c>
      <c r="I173" s="14">
        <v>0</v>
      </c>
      <c r="J173" s="14">
        <v>0</v>
      </c>
      <c r="AA173" s="134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44"/>
      <c r="Q174" s="14"/>
      <c r="R174" s="14"/>
      <c r="T174" s="14"/>
      <c r="AA174" s="134"/>
    </row>
    <row r="175" spans="2:27" s="3" customFormat="1">
      <c r="B175" s="3" t="s">
        <v>200</v>
      </c>
      <c r="C175" s="14">
        <v>108</v>
      </c>
      <c r="D175" s="14">
        <v>93</v>
      </c>
      <c r="E175" s="14">
        <v>89</v>
      </c>
      <c r="F175" s="14">
        <v>48</v>
      </c>
      <c r="G175" s="14">
        <v>28</v>
      </c>
      <c r="H175" s="14">
        <v>9</v>
      </c>
      <c r="I175" s="14">
        <v>3</v>
      </c>
      <c r="J175" s="14">
        <v>-15</v>
      </c>
      <c r="AA175" s="134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44"/>
      <c r="Q176" s="14"/>
      <c r="R176" s="14"/>
      <c r="T176" s="14"/>
      <c r="AA176" s="134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34"/>
    </row>
    <row r="178" spans="2:27" s="3" customFormat="1">
      <c r="B178" s="3" t="s">
        <v>189</v>
      </c>
      <c r="C178" s="14">
        <v>879</v>
      </c>
      <c r="D178" s="14">
        <v>781</v>
      </c>
      <c r="E178" s="14">
        <v>782</v>
      </c>
      <c r="F178" s="14">
        <v>733</v>
      </c>
      <c r="G178" s="14">
        <v>704</v>
      </c>
      <c r="H178" s="14">
        <v>648</v>
      </c>
      <c r="I178" s="14">
        <v>668</v>
      </c>
      <c r="J178" s="14">
        <v>649</v>
      </c>
      <c r="P178" s="144"/>
      <c r="Q178" s="14"/>
      <c r="R178" s="14"/>
      <c r="T178" s="14"/>
      <c r="AA178" s="134"/>
    </row>
    <row r="179" spans="2:27" s="3" customFormat="1">
      <c r="B179" s="3" t="s">
        <v>110</v>
      </c>
      <c r="D179" s="14"/>
      <c r="E179" s="14"/>
      <c r="G179" s="14"/>
      <c r="J179" s="14"/>
      <c r="AA179" s="134"/>
    </row>
    <row r="180" spans="2:27" s="3" customFormat="1">
      <c r="B180" s="3" t="s">
        <v>111</v>
      </c>
      <c r="J180" s="14"/>
      <c r="P180" s="144"/>
      <c r="Q180" s="14"/>
      <c r="R180" s="14"/>
      <c r="T180" s="14"/>
      <c r="AA180" s="134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34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44"/>
      <c r="Q182" s="14"/>
      <c r="R182" s="14"/>
      <c r="T182" s="14"/>
      <c r="AA182" s="134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34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44"/>
      <c r="Q184" s="14"/>
      <c r="R184" s="14"/>
      <c r="T184" s="14"/>
      <c r="AA184" s="134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34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44"/>
      <c r="Q186" s="14"/>
      <c r="R186" s="14"/>
      <c r="T186" s="14"/>
      <c r="AA186" s="134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34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44"/>
      <c r="Q188" s="14"/>
      <c r="R188" s="14"/>
      <c r="T188" s="14"/>
      <c r="AA188" s="134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34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44"/>
      <c r="Q190" s="14"/>
      <c r="R190" s="14"/>
      <c r="T190" s="14"/>
      <c r="AA190" s="134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34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44"/>
      <c r="Q192" s="14"/>
      <c r="R192" s="14"/>
      <c r="T192" s="14"/>
      <c r="AA192" s="134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34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44"/>
      <c r="Q194" s="14"/>
      <c r="R194" s="14"/>
      <c r="T194" s="14"/>
      <c r="AA194" s="134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134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44"/>
      <c r="Q196" s="14"/>
      <c r="R196" s="14"/>
      <c r="T196" s="14"/>
      <c r="AA196" s="134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134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134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134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134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134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134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44"/>
      <c r="W203" s="14"/>
      <c r="AA203" s="134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134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44"/>
      <c r="W205" s="14"/>
      <c r="AA205" s="134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134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44"/>
      <c r="W207" s="14"/>
      <c r="AA207" s="134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134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44"/>
      <c r="W209" s="14"/>
      <c r="AA209" s="134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134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44"/>
      <c r="W211" s="14"/>
      <c r="AA211" s="134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134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44"/>
      <c r="W213" s="14"/>
      <c r="AA213" s="134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134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44"/>
      <c r="W215" s="14"/>
      <c r="AA215" s="134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134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44"/>
      <c r="W217" s="14"/>
      <c r="AA217" s="134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134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44"/>
      <c r="W219" s="14"/>
      <c r="AA219" s="134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134"/>
    </row>
    <row r="221" spans="2:27" s="3" customFormat="1">
      <c r="B221" s="3" t="s">
        <v>2378</v>
      </c>
      <c r="C221" s="14"/>
      <c r="D221" s="14"/>
      <c r="E221" s="14"/>
      <c r="F221" s="14"/>
      <c r="G221" s="14"/>
      <c r="H221" s="14"/>
      <c r="I221" s="14"/>
      <c r="J221" s="14"/>
      <c r="P221" s="144"/>
      <c r="W221" s="14"/>
      <c r="AA221" s="134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134"/>
    </row>
    <row r="223" spans="2:27" s="3" customFormat="1">
      <c r="B223" s="3" t="s">
        <v>48</v>
      </c>
      <c r="C223" s="14" t="s">
        <v>2375</v>
      </c>
      <c r="D223" s="14" t="s">
        <v>2376</v>
      </c>
      <c r="E223" s="14" t="s">
        <v>2267</v>
      </c>
      <c r="F223" s="14" t="s">
        <v>226</v>
      </c>
      <c r="G223" s="14" t="s">
        <v>49</v>
      </c>
      <c r="H223" s="14" t="s">
        <v>50</v>
      </c>
      <c r="I223" s="14" t="s">
        <v>51</v>
      </c>
      <c r="J223" s="14" t="s">
        <v>52</v>
      </c>
      <c r="P223" s="144"/>
      <c r="W223" s="14"/>
      <c r="AA223" s="134"/>
    </row>
    <row r="224" spans="2:27" s="3" customFormat="1">
      <c r="B224" s="3" t="s">
        <v>112</v>
      </c>
      <c r="C224" s="14">
        <v>15</v>
      </c>
      <c r="D224" s="14">
        <v>5</v>
      </c>
      <c r="E224" s="14">
        <v>41</v>
      </c>
      <c r="F224" s="14">
        <v>20</v>
      </c>
      <c r="G224" s="14">
        <v>20</v>
      </c>
      <c r="H224" s="14">
        <v>6</v>
      </c>
      <c r="I224" s="14">
        <v>17</v>
      </c>
      <c r="J224" s="14">
        <v>38</v>
      </c>
      <c r="AA224" s="134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44"/>
      <c r="W225" s="14"/>
      <c r="AA225" s="134"/>
    </row>
    <row r="226" spans="2:27" s="3" customFormat="1">
      <c r="B226" s="3" t="s">
        <v>114</v>
      </c>
      <c r="C226" s="14">
        <v>7</v>
      </c>
      <c r="D226" s="14">
        <v>5</v>
      </c>
      <c r="E226" s="14">
        <v>5</v>
      </c>
      <c r="F226" s="14">
        <v>5</v>
      </c>
      <c r="G226" s="14">
        <v>5</v>
      </c>
      <c r="H226" s="14">
        <v>5</v>
      </c>
      <c r="I226" s="14">
        <v>4</v>
      </c>
      <c r="J226" s="14">
        <v>4</v>
      </c>
      <c r="AA226" s="134"/>
    </row>
    <row r="227" spans="2:27" s="3" customFormat="1">
      <c r="B227" s="3" t="s">
        <v>115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P227" s="144"/>
      <c r="W227" s="14"/>
      <c r="AA227" s="134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134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44"/>
      <c r="W229" s="14"/>
      <c r="AA229" s="134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134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44"/>
      <c r="W231" s="14"/>
      <c r="AA231" s="134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14">
        <v>0</v>
      </c>
      <c r="I232" s="14">
        <v>0</v>
      </c>
      <c r="J232" s="14">
        <v>0</v>
      </c>
      <c r="AA232" s="134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44"/>
      <c r="W233" s="14"/>
      <c r="AA233" s="134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134"/>
    </row>
    <row r="235" spans="2:27">
      <c r="B235" s="3" t="s">
        <v>123</v>
      </c>
      <c r="C235" s="14">
        <v>-45</v>
      </c>
      <c r="D235" s="14">
        <v>23</v>
      </c>
      <c r="E235" s="14">
        <v>11</v>
      </c>
      <c r="F235" s="14">
        <v>-13</v>
      </c>
      <c r="G235" s="14">
        <v>-41</v>
      </c>
      <c r="H235" s="14">
        <v>19</v>
      </c>
      <c r="I235" s="14">
        <v>-6</v>
      </c>
      <c r="J235" s="14">
        <v>-6</v>
      </c>
      <c r="P235" s="68"/>
      <c r="W235" s="46"/>
    </row>
    <row r="236" spans="2:27">
      <c r="B236" s="3" t="s">
        <v>124</v>
      </c>
      <c r="C236" s="14">
        <v>-75</v>
      </c>
      <c r="D236" s="14">
        <v>1</v>
      </c>
      <c r="E236" s="14">
        <v>0</v>
      </c>
      <c r="F236" s="14">
        <v>8</v>
      </c>
      <c r="G236" s="14">
        <v>0</v>
      </c>
      <c r="H236" s="14">
        <v>14</v>
      </c>
      <c r="I236" s="14">
        <v>-5</v>
      </c>
      <c r="J236" s="14">
        <v>4</v>
      </c>
    </row>
    <row r="237" spans="2:27">
      <c r="B237" s="3" t="s">
        <v>125</v>
      </c>
      <c r="C237" s="14">
        <v>85</v>
      </c>
      <c r="D237" s="14">
        <v>-17</v>
      </c>
      <c r="E237" s="14">
        <v>-2</v>
      </c>
      <c r="F237" s="14">
        <v>15</v>
      </c>
      <c r="G237" s="14">
        <v>39</v>
      </c>
      <c r="H237" s="14">
        <v>-35</v>
      </c>
      <c r="I237" s="14">
        <v>-1</v>
      </c>
      <c r="J237" s="14">
        <v>-7</v>
      </c>
      <c r="P237" s="68"/>
      <c r="W237" s="46"/>
    </row>
    <row r="238" spans="2:27">
      <c r="B238" s="3" t="s">
        <v>126</v>
      </c>
      <c r="C238" s="14">
        <v>-3</v>
      </c>
      <c r="D238" s="14">
        <v>13</v>
      </c>
      <c r="E238" s="14">
        <v>11</v>
      </c>
      <c r="F238" s="14">
        <v>-4</v>
      </c>
      <c r="G238" s="14">
        <v>0</v>
      </c>
      <c r="H238" s="14">
        <v>8</v>
      </c>
      <c r="I238" s="14">
        <v>7</v>
      </c>
      <c r="J238" s="14">
        <v>-31</v>
      </c>
    </row>
    <row r="239" spans="2:27">
      <c r="B239" s="3" t="s">
        <v>19</v>
      </c>
      <c r="C239" s="14">
        <v>-17</v>
      </c>
      <c r="D239" s="14">
        <v>31</v>
      </c>
      <c r="E239" s="14">
        <v>68</v>
      </c>
      <c r="F239" s="14">
        <v>32</v>
      </c>
      <c r="G239" s="14">
        <v>23</v>
      </c>
      <c r="H239" s="14">
        <v>18</v>
      </c>
      <c r="I239" s="14">
        <v>18</v>
      </c>
      <c r="J239" s="14">
        <v>2</v>
      </c>
      <c r="P239" s="68"/>
      <c r="W239" s="46"/>
    </row>
    <row r="240" spans="2:27">
      <c r="B240" s="3" t="s">
        <v>127</v>
      </c>
      <c r="C240" s="14">
        <v>25</v>
      </c>
      <c r="D240" s="14">
        <v>7</v>
      </c>
      <c r="E240" s="14">
        <v>-75</v>
      </c>
      <c r="F240" s="14">
        <v>-47</v>
      </c>
      <c r="G240" s="14">
        <v>21</v>
      </c>
      <c r="H240" s="14">
        <v>-26</v>
      </c>
      <c r="I240" s="14">
        <v>23</v>
      </c>
      <c r="J240" s="14">
        <v>-10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8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  <c r="P243" s="68"/>
      <c r="W243" s="46"/>
    </row>
    <row r="244" spans="2:23">
      <c r="B244" s="3" t="s">
        <v>20</v>
      </c>
      <c r="C244" s="14">
        <v>-3</v>
      </c>
      <c r="D244" s="14">
        <v>-25</v>
      </c>
      <c r="E244" s="14">
        <v>-3</v>
      </c>
      <c r="F244" s="14">
        <v>-4</v>
      </c>
      <c r="G244" s="14">
        <v>-4</v>
      </c>
      <c r="H244" s="14">
        <v>-8</v>
      </c>
      <c r="I244" s="14">
        <v>-6</v>
      </c>
      <c r="J244" s="14">
        <v>-7</v>
      </c>
    </row>
    <row r="245" spans="2:23">
      <c r="B245" s="3" t="s">
        <v>130</v>
      </c>
      <c r="C245" s="14">
        <v>0</v>
      </c>
      <c r="D245" s="14">
        <v>0</v>
      </c>
      <c r="E245" s="14">
        <v>0</v>
      </c>
      <c r="F245" s="14">
        <v>0</v>
      </c>
      <c r="G245" s="14">
        <v>0</v>
      </c>
      <c r="H245" s="14">
        <v>0</v>
      </c>
      <c r="I245" s="14">
        <v>0</v>
      </c>
      <c r="J245" s="14">
        <v>1</v>
      </c>
      <c r="P245" s="68"/>
      <c r="W245" s="46"/>
    </row>
    <row r="246" spans="2:23">
      <c r="B246" s="3" t="s">
        <v>131</v>
      </c>
      <c r="C246" s="14">
        <v>21</v>
      </c>
      <c r="D246" s="14">
        <v>-18</v>
      </c>
      <c r="E246" s="14">
        <v>-78</v>
      </c>
      <c r="F246" s="14">
        <v>-50</v>
      </c>
      <c r="G246" s="14">
        <v>17</v>
      </c>
      <c r="H246" s="14">
        <v>-34</v>
      </c>
      <c r="I246" s="14">
        <v>17</v>
      </c>
      <c r="J246" s="14">
        <v>-16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8"/>
      <c r="W247" s="46"/>
    </row>
    <row r="248" spans="2:23">
      <c r="B248" s="3" t="s">
        <v>133</v>
      </c>
      <c r="C248" s="14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8"/>
      <c r="W249" s="46"/>
    </row>
    <row r="250" spans="2:23">
      <c r="B250" s="3" t="s">
        <v>135</v>
      </c>
      <c r="C250" s="14">
        <v>0</v>
      </c>
      <c r="D250" s="14">
        <v>0</v>
      </c>
      <c r="E250" s="14">
        <v>0</v>
      </c>
      <c r="F250" s="14">
        <v>0</v>
      </c>
      <c r="G250" s="14">
        <v>0</v>
      </c>
      <c r="H250" s="14">
        <v>0</v>
      </c>
      <c r="I250" s="14">
        <v>0</v>
      </c>
      <c r="J250" s="14">
        <v>0</v>
      </c>
    </row>
    <row r="251" spans="2:23">
      <c r="B251" s="3" t="s">
        <v>136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  <c r="P251" s="68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8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0</v>
      </c>
      <c r="P255" s="68"/>
      <c r="W255" s="46"/>
    </row>
    <row r="256" spans="2:23">
      <c r="B256" s="3" t="s">
        <v>141</v>
      </c>
      <c r="C256" s="14">
        <v>0</v>
      </c>
      <c r="D256" s="14">
        <v>0</v>
      </c>
      <c r="E256" s="14">
        <v>0</v>
      </c>
      <c r="F256" s="14">
        <v>0</v>
      </c>
      <c r="G256" s="14">
        <v>0</v>
      </c>
      <c r="H256" s="14">
        <v>0</v>
      </c>
      <c r="I256" s="14">
        <v>0</v>
      </c>
      <c r="J256" s="14">
        <v>0</v>
      </c>
    </row>
    <row r="257" spans="2:23">
      <c r="B257" s="3" t="s">
        <v>142</v>
      </c>
      <c r="C257" s="14">
        <v>-1</v>
      </c>
      <c r="D257" s="14">
        <v>1</v>
      </c>
      <c r="E257" s="14">
        <v>0</v>
      </c>
      <c r="F257" s="14">
        <v>1</v>
      </c>
      <c r="G257" s="14">
        <v>-1</v>
      </c>
      <c r="H257" s="14">
        <v>2</v>
      </c>
      <c r="I257" s="14">
        <v>-3</v>
      </c>
      <c r="J257" s="14">
        <v>2</v>
      </c>
      <c r="P257" s="68"/>
      <c r="W257" s="46"/>
    </row>
    <row r="258" spans="2:23">
      <c r="B258" s="3" t="s">
        <v>143</v>
      </c>
      <c r="C258" s="14">
        <v>3</v>
      </c>
      <c r="D258" s="14">
        <v>14</v>
      </c>
      <c r="E258" s="14">
        <v>-11</v>
      </c>
      <c r="F258" s="14">
        <v>-17</v>
      </c>
      <c r="G258" s="14">
        <v>39</v>
      </c>
      <c r="H258" s="14">
        <v>-14</v>
      </c>
      <c r="I258" s="14">
        <v>32</v>
      </c>
      <c r="J258" s="14">
        <v>-12</v>
      </c>
    </row>
    <row r="259" spans="2:23">
      <c r="B259" s="3" t="s">
        <v>144</v>
      </c>
      <c r="C259" s="14">
        <v>75</v>
      </c>
      <c r="D259" s="14">
        <v>62</v>
      </c>
      <c r="E259" s="14">
        <v>72</v>
      </c>
      <c r="F259" s="14">
        <v>89</v>
      </c>
      <c r="G259" s="14">
        <v>50</v>
      </c>
      <c r="H259" s="14">
        <v>64</v>
      </c>
      <c r="I259" s="14">
        <v>32</v>
      </c>
      <c r="J259" s="14">
        <v>44</v>
      </c>
      <c r="P259" s="68"/>
      <c r="W259" s="46"/>
    </row>
    <row r="260" spans="2:23">
      <c r="B260" s="3" t="s">
        <v>145</v>
      </c>
      <c r="C260" s="14">
        <v>79</v>
      </c>
      <c r="D260" s="14">
        <v>75</v>
      </c>
      <c r="E260" s="14">
        <v>62</v>
      </c>
      <c r="F260" s="14">
        <v>72</v>
      </c>
      <c r="G260" s="14">
        <v>89</v>
      </c>
      <c r="H260" s="14">
        <v>50</v>
      </c>
      <c r="I260" s="14">
        <v>64</v>
      </c>
      <c r="J260" s="14">
        <v>32</v>
      </c>
    </row>
    <row r="261" spans="2:23">
      <c r="B261" s="3" t="s">
        <v>146</v>
      </c>
      <c r="C261" s="14">
        <v>0</v>
      </c>
      <c r="D261" s="14">
        <v>0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0</v>
      </c>
      <c r="P261" s="68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8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8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8"/>
      <c r="W267" s="46"/>
    </row>
    <row r="269" spans="2:23">
      <c r="P269" s="68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8"/>
      <c r="W271" s="46"/>
    </row>
    <row r="272" spans="2:23">
      <c r="E272" s="14"/>
    </row>
    <row r="273" spans="3:23">
      <c r="E273" s="14"/>
      <c r="I273" s="14"/>
      <c r="P273" s="68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8"/>
      <c r="W275" s="46"/>
    </row>
    <row r="277" spans="3:23">
      <c r="P277" s="68"/>
      <c r="W277" s="46"/>
    </row>
    <row r="279" spans="3:23">
      <c r="P279" s="68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8"/>
      <c r="W281" s="46"/>
    </row>
    <row r="282" spans="3:23">
      <c r="C282" s="14"/>
      <c r="D282" s="14"/>
      <c r="E282" s="14"/>
      <c r="F282" s="14"/>
      <c r="G282" s="14"/>
    </row>
    <row r="283" spans="3:23">
      <c r="P283" s="68"/>
      <c r="W283" s="46"/>
    </row>
    <row r="284" spans="3:23">
      <c r="E284" s="14"/>
      <c r="I284" s="14"/>
    </row>
    <row r="285" spans="3:23">
      <c r="P285" s="68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8"/>
      <c r="W287" s="46"/>
    </row>
    <row r="289" spans="3:23">
      <c r="P289" s="68"/>
      <c r="W289" s="46"/>
    </row>
    <row r="291" spans="3:23">
      <c r="P291" s="68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8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8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8"/>
      <c r="W297" s="46"/>
    </row>
    <row r="299" spans="3:23">
      <c r="P299" s="68"/>
      <c r="W299" s="46"/>
    </row>
    <row r="301" spans="3:23">
      <c r="P301" s="68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8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8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8"/>
      <c r="W307" s="46"/>
    </row>
    <row r="308" spans="3:23">
      <c r="I308" s="14"/>
    </row>
    <row r="309" spans="3:23">
      <c r="E309" s="14"/>
      <c r="F309" s="14"/>
      <c r="I309" s="14"/>
      <c r="J309" s="14"/>
      <c r="P309" s="68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8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8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8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8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</mergeCells>
  <phoneticPr fontId="2" type="noConversion"/>
  <hyperlinks>
    <hyperlink ref="N51" r:id="rId1" display="https://tw.stock.yahoo.com/q/bc?s=1570"/>
    <hyperlink ref="N52" r:id="rId2" display="https://tw.stock.yahoo.com/pf/pfsel?stocklist=1570;"/>
    <hyperlink ref="N54" r:id="rId3" display="https://tw.stock.yahoo.com/pf/pfsel?stocklist=1570;"/>
    <hyperlink ref="Y51" r:id="rId4" display="https://tw.stock.yahoo.com/q/ts?s=1570"/>
    <hyperlink ref="Y54" r:id="rId5" display="https://tw.rd.yahoo.com/referurl/stock/other/SIG=125v47s73/**https:/tw.screener.finance.yahoo.net/screener/check.html?symid=1570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68" r:id="rId10" name="CommandButton30"/>
    <control shapeId="1066" r:id="rId11" name="CommandButton29"/>
    <control shapeId="1065" r:id="rId12" name="CommandButton28"/>
    <control shapeId="1063" r:id="rId13" name="CommandButton27"/>
    <control shapeId="1061" r:id="rId14" name="CommandButton26"/>
    <control shapeId="1055" r:id="rId15" name="CommandButton21"/>
    <control shapeId="1054" r:id="rId16" name="CommandButton20"/>
    <control shapeId="1053" r:id="rId17" name="CommandButton19"/>
    <control shapeId="1051" r:id="rId18" name="CommandButton17"/>
    <control shapeId="1050" r:id="rId19" name="CommandButton16"/>
    <control shapeId="1049" r:id="rId20" name="CommandButton15"/>
    <control shapeId="1047" r:id="rId21" name="CommandButton14"/>
    <control shapeId="1045" r:id="rId22" name="CommandButton13"/>
    <control shapeId="1044" r:id="rId23" name="CommandButton12"/>
    <control shapeId="1042" r:id="rId24" name="CommandButton11"/>
    <control shapeId="1034" r:id="rId25" name="CommandButton0"/>
    <control shapeId="1033" r:id="rId26" name="CommandButton9"/>
    <control shapeId="1032" r:id="rId27" name="CommandButton8"/>
    <control shapeId="1031" r:id="rId28" name="CommandButton7"/>
    <control shapeId="1030" r:id="rId29" name="CommandButton6"/>
    <control shapeId="1029" r:id="rId30" name="CommandButton5"/>
    <control shapeId="1028" r:id="rId31" name="CommandButton4"/>
    <control shapeId="1027" r:id="rId32" name="CommandButton2"/>
    <control shapeId="1026" r:id="rId33" name="CommandButton1"/>
    <control shapeId="1025" r:id="rId34" name="ComboBox1"/>
    <control shapeId="1040" r:id="rId35" name="CommandButton3"/>
    <control shapeId="1056" r:id="rId36" name="CommandButton10"/>
    <control shapeId="1057" r:id="rId37" name="CommandButton22"/>
    <control shapeId="1058" r:id="rId38" name="CommandButton23"/>
    <control shapeId="1059" r:id="rId39" name="CommandButton24"/>
    <control shapeId="1060" r:id="rId40" name="CommandButton25"/>
    <control shapeId="1070" r:id="rId41" name="CommandButton3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D評比系統"/>
  <dimension ref="A1:CA36"/>
  <sheetViews>
    <sheetView zoomScaleNormal="100" workbookViewId="0">
      <pane xSplit="13" ySplit="3" topLeftCell="N29" activePane="bottomRight" state="frozen"/>
      <selection pane="topRight" activeCell="N1" sqref="N1"/>
      <selection pane="bottomLeft" activeCell="A4" sqref="A4"/>
      <selection pane="bottomRight" activeCell="A37" sqref="A37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236" customWidth="1"/>
    <col min="20" max="20" width="34.375" bestFit="1" customWidth="1"/>
  </cols>
  <sheetData>
    <row r="1" spans="1:79" ht="26.25" thickBot="1">
      <c r="A1" s="345">
        <f ca="1">NOW()</f>
        <v>42597.985225810182</v>
      </c>
      <c r="B1" s="346"/>
      <c r="C1" s="357" t="s">
        <v>2372</v>
      </c>
      <c r="D1" s="358"/>
      <c r="E1" s="358"/>
      <c r="F1" s="358"/>
      <c r="G1" s="359"/>
      <c r="H1" s="294"/>
      <c r="I1" s="292"/>
      <c r="J1" s="292"/>
      <c r="K1" s="292"/>
      <c r="L1" s="292"/>
      <c r="M1" s="295"/>
      <c r="N1" s="297"/>
      <c r="O1" s="293"/>
      <c r="P1" s="24"/>
      <c r="Q1" s="61"/>
      <c r="R1" s="61"/>
      <c r="S1" s="234"/>
    </row>
    <row r="2" spans="1:79" s="59" customFormat="1" ht="28.5" customHeight="1">
      <c r="A2" s="347" t="s">
        <v>38</v>
      </c>
      <c r="B2" s="348"/>
      <c r="C2" s="349" t="s">
        <v>250</v>
      </c>
      <c r="D2" s="350"/>
      <c r="E2" s="350"/>
      <c r="F2" s="350"/>
      <c r="G2" s="351"/>
      <c r="H2" s="354" t="s">
        <v>253</v>
      </c>
      <c r="I2" s="355"/>
      <c r="J2" s="355"/>
      <c r="K2" s="355"/>
      <c r="L2" s="355"/>
      <c r="M2" s="356"/>
      <c r="N2" s="298" t="s">
        <v>1903</v>
      </c>
      <c r="O2" s="352" t="s">
        <v>1926</v>
      </c>
      <c r="P2" s="352"/>
      <c r="Q2" s="352"/>
      <c r="R2" s="352"/>
      <c r="S2" s="353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</row>
    <row r="3" spans="1:79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96" t="s">
        <v>45</v>
      </c>
      <c r="H3" s="17" t="s">
        <v>37</v>
      </c>
      <c r="I3" s="188" t="s">
        <v>248</v>
      </c>
      <c r="J3" s="189" t="s">
        <v>249</v>
      </c>
      <c r="K3" s="189" t="s">
        <v>251</v>
      </c>
      <c r="L3" s="189" t="s">
        <v>254</v>
      </c>
      <c r="M3" s="190" t="s">
        <v>1902</v>
      </c>
      <c r="N3" s="299" t="s">
        <v>542</v>
      </c>
      <c r="O3" s="70" t="s">
        <v>255</v>
      </c>
      <c r="P3" s="60" t="s">
        <v>256</v>
      </c>
      <c r="Q3" s="60" t="s">
        <v>252</v>
      </c>
      <c r="R3" s="60" t="s">
        <v>1925</v>
      </c>
      <c r="S3" s="235" t="s">
        <v>538</v>
      </c>
    </row>
    <row r="4" spans="1:79">
      <c r="A4" s="20">
        <v>1203</v>
      </c>
      <c r="C4" s="18">
        <f>VLOOKUP(1203,季財報!A:H,3)</f>
        <v>0</v>
      </c>
      <c r="D4" s="18">
        <f>VLOOKUP(1203,季財報!A:H,4)</f>
        <v>1</v>
      </c>
      <c r="E4" s="18">
        <f>VLOOKUP(1203,季財報!A:H,5)</f>
        <v>2</v>
      </c>
      <c r="F4" s="18">
        <f>VLOOKUP(1203,季財報!A:H,6)</f>
        <v>1</v>
      </c>
      <c r="G4" s="18">
        <f>VLOOKUP(1203,季財報!A:H,7)</f>
        <v>1</v>
      </c>
      <c r="N4" s="20">
        <f t="shared" ref="N4:N36" si="0">SUM(C4:G4)</f>
        <v>5</v>
      </c>
    </row>
    <row r="5" spans="1:79">
      <c r="A5" s="20">
        <v>1101</v>
      </c>
      <c r="C5" s="18">
        <f>VLOOKUP(1101,季財報!A:H,3)</f>
        <v>0</v>
      </c>
      <c r="D5" s="18">
        <f>VLOOKUP(1101,季財報!A:H,4)</f>
        <v>0</v>
      </c>
      <c r="E5" s="18">
        <f>VLOOKUP(1101,季財報!A:H,5)</f>
        <v>0</v>
      </c>
      <c r="F5" s="18">
        <f>VLOOKUP(1101,季財報!A:H,6)</f>
        <v>1</v>
      </c>
      <c r="G5" s="18">
        <f>VLOOKUP(1101,季財報!A:H,7)</f>
        <v>0</v>
      </c>
      <c r="N5" s="20">
        <f t="shared" si="0"/>
        <v>1</v>
      </c>
    </row>
    <row r="6" spans="1:79">
      <c r="A6" s="20">
        <v>1102</v>
      </c>
      <c r="C6" s="18">
        <f>VLOOKUP(1102,季財報!A:H,3)</f>
        <v>0</v>
      </c>
      <c r="D6" s="18">
        <f>VLOOKUP(1102,季財報!A:H,4)</f>
        <v>0</v>
      </c>
      <c r="E6" s="18">
        <f>VLOOKUP(1102,季財報!A:H,5)</f>
        <v>0</v>
      </c>
      <c r="F6" s="18">
        <f>VLOOKUP(1102,季財報!A:H,6)</f>
        <v>1</v>
      </c>
      <c r="G6" s="18">
        <f>VLOOKUP(1102,季財報!A:H,7)</f>
        <v>0</v>
      </c>
      <c r="N6" s="20">
        <f t="shared" si="0"/>
        <v>1</v>
      </c>
    </row>
    <row r="7" spans="1:79">
      <c r="A7" s="20">
        <v>1103</v>
      </c>
      <c r="C7" s="18">
        <f>VLOOKUP(1103,季財報!A:H,3)</f>
        <v>0</v>
      </c>
      <c r="D7" s="18">
        <f>VLOOKUP(1103,季財報!A:H,4)</f>
        <v>0</v>
      </c>
      <c r="E7" s="18">
        <f>VLOOKUP(1103,季財報!A:H,5)</f>
        <v>0</v>
      </c>
      <c r="F7" s="18">
        <f>VLOOKUP(1103,季財報!A:H,6)</f>
        <v>1</v>
      </c>
      <c r="G7" s="18">
        <f>VLOOKUP(1103,季財報!A:H,7)</f>
        <v>0</v>
      </c>
      <c r="N7" s="20">
        <f t="shared" si="0"/>
        <v>1</v>
      </c>
    </row>
    <row r="8" spans="1:79">
      <c r="A8" s="20">
        <v>1104</v>
      </c>
      <c r="C8" s="18">
        <f>VLOOKUP(1104,季財報!A:H,3)</f>
        <v>0</v>
      </c>
      <c r="D8" s="18">
        <f>VLOOKUP(1104,季財報!A:H,4)</f>
        <v>0</v>
      </c>
      <c r="E8" s="18">
        <f>VLOOKUP(1104,季財報!A:H,5)</f>
        <v>1</v>
      </c>
      <c r="F8" s="18">
        <f>VLOOKUP(1104,季財報!A:H,6)</f>
        <v>1</v>
      </c>
      <c r="G8" s="18">
        <f>VLOOKUP(1104,季財報!A:H,7)</f>
        <v>0</v>
      </c>
      <c r="N8" s="20">
        <f t="shared" si="0"/>
        <v>2</v>
      </c>
    </row>
    <row r="9" spans="1:79">
      <c r="A9" s="20">
        <v>1108</v>
      </c>
      <c r="C9" s="18">
        <f>VLOOKUP(1108,季財報!A:H,3)</f>
        <v>0</v>
      </c>
      <c r="D9" s="18">
        <f>VLOOKUP(1108,季財報!A:H,4)</f>
        <v>1</v>
      </c>
      <c r="E9" s="18">
        <f>VLOOKUP(1108,季財報!A:H,5)</f>
        <v>0</v>
      </c>
      <c r="F9" s="18">
        <f>VLOOKUP(1108,季財報!A:H,6)</f>
        <v>1</v>
      </c>
      <c r="G9" s="18">
        <f>VLOOKUP(1108,季財報!A:H,7)</f>
        <v>0</v>
      </c>
      <c r="N9" s="20">
        <f t="shared" si="0"/>
        <v>2</v>
      </c>
    </row>
    <row r="10" spans="1:79">
      <c r="A10" s="20">
        <v>1109</v>
      </c>
      <c r="C10" s="18">
        <f>VLOOKUP(1109,季財報!A:H,3)</f>
        <v>0</v>
      </c>
      <c r="D10" s="18">
        <f>VLOOKUP(1109,季財報!A:H,4)</f>
        <v>0</v>
      </c>
      <c r="E10" s="18">
        <f>VLOOKUP(1109,季財報!A:H,5)</f>
        <v>1</v>
      </c>
      <c r="F10" s="18">
        <f>VLOOKUP(1109,季財報!A:H,6)</f>
        <v>1</v>
      </c>
      <c r="G10" s="18">
        <f>VLOOKUP(1109,季財報!A:H,7)</f>
        <v>0</v>
      </c>
      <c r="N10" s="20">
        <f t="shared" si="0"/>
        <v>2</v>
      </c>
    </row>
    <row r="11" spans="1:79">
      <c r="A11" s="20">
        <v>1110</v>
      </c>
      <c r="C11" s="18">
        <f>VLOOKUP(1110,季財報!A:H,3)</f>
        <v>0</v>
      </c>
      <c r="D11" s="18">
        <f>VLOOKUP(1110,季財報!A:H,4)</f>
        <v>1</v>
      </c>
      <c r="E11" s="18">
        <f>VLOOKUP(1110,季財報!A:H,5)</f>
        <v>0</v>
      </c>
      <c r="F11" s="18">
        <f>VLOOKUP(1110,季財報!A:H,6)</f>
        <v>1</v>
      </c>
      <c r="G11" s="18">
        <f>VLOOKUP(1110,季財報!A:H,7)</f>
        <v>0</v>
      </c>
      <c r="N11" s="20">
        <f t="shared" si="0"/>
        <v>2</v>
      </c>
    </row>
    <row r="12" spans="1:79">
      <c r="A12" s="20">
        <v>1201</v>
      </c>
      <c r="C12" s="18">
        <f>VLOOKUP(1201,季財報!A:H,3)</f>
        <v>0</v>
      </c>
      <c r="D12" s="18">
        <f>VLOOKUP(1201,季財報!A:H,4)</f>
        <v>0</v>
      </c>
      <c r="E12" s="18">
        <f>VLOOKUP(1201,季財報!A:H,5)</f>
        <v>0</v>
      </c>
      <c r="F12" s="18">
        <f>VLOOKUP(1201,季財報!A:H,6)</f>
        <v>0</v>
      </c>
      <c r="G12" s="18">
        <f>VLOOKUP(1201,季財報!A:H,7)</f>
        <v>0</v>
      </c>
      <c r="N12" s="20">
        <f t="shared" si="0"/>
        <v>0</v>
      </c>
    </row>
    <row r="13" spans="1:79">
      <c r="A13" s="20">
        <v>1210</v>
      </c>
      <c r="C13" s="18">
        <f>VLOOKUP(1210,季財報!A:H,3)</f>
        <v>0</v>
      </c>
      <c r="D13" s="18">
        <f>VLOOKUP(1210,季財報!A:H,4)</f>
        <v>1</v>
      </c>
      <c r="E13" s="18">
        <f>VLOOKUP(1210,季財報!A:H,5)</f>
        <v>1</v>
      </c>
      <c r="F13" s="18">
        <f>VLOOKUP(1210,季財報!A:H,6)</f>
        <v>0</v>
      </c>
      <c r="G13" s="18">
        <f>VLOOKUP(1210,季財報!A:H,7)</f>
        <v>0</v>
      </c>
      <c r="N13" s="20">
        <f t="shared" si="0"/>
        <v>2</v>
      </c>
    </row>
    <row r="14" spans="1:79">
      <c r="A14" s="20">
        <v>1213</v>
      </c>
      <c r="C14" s="18">
        <f>VLOOKUP(1213,季財報!A:H,3)</f>
        <v>1</v>
      </c>
      <c r="D14" s="18">
        <f>VLOOKUP(1213,季財報!A:H,4)</f>
        <v>1</v>
      </c>
      <c r="E14" s="18">
        <f>VLOOKUP(1213,季財報!A:H,5)</f>
        <v>2</v>
      </c>
      <c r="F14" s="18">
        <f>VLOOKUP(1213,季財報!A:H,6)</f>
        <v>0</v>
      </c>
      <c r="G14" s="18">
        <f>VLOOKUP(1213,季財報!A:H,7)</f>
        <v>0</v>
      </c>
      <c r="N14" s="20">
        <f t="shared" si="0"/>
        <v>4</v>
      </c>
    </row>
    <row r="15" spans="1:79">
      <c r="A15" s="20">
        <v>1215</v>
      </c>
      <c r="C15" s="18">
        <f>VLOOKUP(1215,季財報!A:H,3)</f>
        <v>0</v>
      </c>
      <c r="D15" s="18">
        <f>VLOOKUP(1215,季財報!A:H,4)</f>
        <v>1</v>
      </c>
      <c r="E15" s="18">
        <f>VLOOKUP(1215,季財報!A:H,5)</f>
        <v>1</v>
      </c>
      <c r="F15" s="18">
        <f>VLOOKUP(1215,季財報!A:H,6)</f>
        <v>1</v>
      </c>
      <c r="G15" s="18">
        <f>VLOOKUP(1215,季財報!A:H,7)</f>
        <v>0</v>
      </c>
      <c r="N15" s="20">
        <f t="shared" si="0"/>
        <v>3</v>
      </c>
    </row>
    <row r="16" spans="1:79">
      <c r="A16" s="20">
        <v>1216</v>
      </c>
      <c r="C16" s="18">
        <f>VLOOKUP(1216,季財報!A:H,3)</f>
        <v>0</v>
      </c>
      <c r="D16" s="18">
        <f>VLOOKUP(1216,季財報!A:H,4)</f>
        <v>1</v>
      </c>
      <c r="E16" s="18">
        <f>VLOOKUP(1216,季財報!A:H,5)</f>
        <v>2</v>
      </c>
      <c r="F16" s="18">
        <f>VLOOKUP(1216,季財報!A:H,6)</f>
        <v>1</v>
      </c>
      <c r="G16" s="18">
        <f>VLOOKUP(1216,季財報!A:H,7)</f>
        <v>0</v>
      </c>
      <c r="N16" s="20">
        <f t="shared" si="0"/>
        <v>4</v>
      </c>
    </row>
    <row r="17" spans="1:14">
      <c r="A17" s="20">
        <v>1217</v>
      </c>
      <c r="C17" s="18">
        <f>VLOOKUP(1217,季財報!A:H,3)</f>
        <v>1</v>
      </c>
      <c r="D17" s="18">
        <f>VLOOKUP(1217,季財報!A:H,4)</f>
        <v>1</v>
      </c>
      <c r="E17" s="18">
        <f>VLOOKUP(1217,季財報!A:H,5)</f>
        <v>0</v>
      </c>
      <c r="F17" s="18">
        <f>VLOOKUP(1217,季財報!A:H,6)</f>
        <v>0</v>
      </c>
      <c r="G17" s="18">
        <f>VLOOKUP(1217,季財報!A:H,7)</f>
        <v>0</v>
      </c>
      <c r="N17" s="20">
        <f t="shared" si="0"/>
        <v>2</v>
      </c>
    </row>
    <row r="18" spans="1:14">
      <c r="A18" s="20">
        <v>1218</v>
      </c>
      <c r="C18" s="18">
        <f>VLOOKUP(1218,季財報!A:H,3)</f>
        <v>1</v>
      </c>
      <c r="D18" s="18">
        <f>VLOOKUP(1218,季財報!A:H,4)</f>
        <v>1</v>
      </c>
      <c r="E18" s="18">
        <f>VLOOKUP(1218,季財報!A:H,5)</f>
        <v>1</v>
      </c>
      <c r="F18" s="18">
        <f>VLOOKUP(1218,季財報!A:H,6)</f>
        <v>0</v>
      </c>
      <c r="G18" s="18">
        <f>VLOOKUP(1218,季財報!A:H,7)</f>
        <v>0</v>
      </c>
      <c r="N18" s="20">
        <f t="shared" si="0"/>
        <v>3</v>
      </c>
    </row>
    <row r="19" spans="1:14">
      <c r="A19" s="20">
        <v>1219</v>
      </c>
      <c r="C19" s="18">
        <f>VLOOKUP(1219,季財報!A:H,3)</f>
        <v>0</v>
      </c>
      <c r="D19" s="18">
        <f>VLOOKUP(1219,季財報!A:H,4)</f>
        <v>1</v>
      </c>
      <c r="E19" s="18">
        <f>VLOOKUP(1219,季財報!A:H,5)</f>
        <v>1</v>
      </c>
      <c r="F19" s="18">
        <f>VLOOKUP(1219,季財報!A:H,6)</f>
        <v>0</v>
      </c>
      <c r="G19" s="18">
        <f>VLOOKUP(1219,季財報!A:H,7)</f>
        <v>0</v>
      </c>
      <c r="N19" s="20">
        <f t="shared" si="0"/>
        <v>2</v>
      </c>
    </row>
    <row r="20" spans="1:14">
      <c r="A20" s="20">
        <v>1220</v>
      </c>
      <c r="C20" s="18">
        <f>VLOOKUP(1220,季財報!A:H,3)</f>
        <v>1</v>
      </c>
      <c r="D20" s="18">
        <f>VLOOKUP(1220,季財報!A:H,4)</f>
        <v>1</v>
      </c>
      <c r="E20" s="18">
        <f>VLOOKUP(1220,季財報!A:H,5)</f>
        <v>0</v>
      </c>
      <c r="F20" s="18">
        <f>VLOOKUP(1220,季財報!A:H,6)</f>
        <v>0</v>
      </c>
      <c r="G20" s="18">
        <f>VLOOKUP(1220,季財報!A:H,7)</f>
        <v>0</v>
      </c>
      <c r="N20" s="20">
        <f t="shared" si="0"/>
        <v>2</v>
      </c>
    </row>
    <row r="21" spans="1:14">
      <c r="A21" s="20">
        <v>1225</v>
      </c>
      <c r="C21" s="18">
        <f>VLOOKUP(1225,季財報!A:H,3)</f>
        <v>0</v>
      </c>
      <c r="D21" s="18">
        <f>VLOOKUP(1225,季財報!A:H,4)</f>
        <v>1</v>
      </c>
      <c r="E21" s="18">
        <f>VLOOKUP(1225,季財報!A:H,5)</f>
        <v>0</v>
      </c>
      <c r="F21" s="18">
        <f>VLOOKUP(1225,季財報!A:H,6)</f>
        <v>0</v>
      </c>
      <c r="G21" s="18">
        <f>VLOOKUP(1225,季財報!A:H,7)</f>
        <v>0</v>
      </c>
      <c r="N21" s="20">
        <f t="shared" si="0"/>
        <v>1</v>
      </c>
    </row>
    <row r="22" spans="1:14">
      <c r="A22" s="20">
        <v>1227</v>
      </c>
      <c r="C22" s="18">
        <f>VLOOKUP(1227,季財報!A:H,3)</f>
        <v>0</v>
      </c>
      <c r="D22" s="18">
        <f>VLOOKUP(1227,季財報!A:H,4)</f>
        <v>1</v>
      </c>
      <c r="E22" s="18">
        <f>VLOOKUP(1227,季財報!A:H,5)</f>
        <v>2</v>
      </c>
      <c r="F22" s="18">
        <f>VLOOKUP(1227,季財報!A:H,6)</f>
        <v>1</v>
      </c>
      <c r="G22" s="18">
        <f>VLOOKUP(1227,季財報!A:H,7)</f>
        <v>0</v>
      </c>
      <c r="N22" s="20">
        <f t="shared" si="0"/>
        <v>4</v>
      </c>
    </row>
    <row r="23" spans="1:14">
      <c r="A23" s="20">
        <v>1229</v>
      </c>
      <c r="C23" s="18">
        <f>VLOOKUP(1229,季財報!A:H,3)</f>
        <v>0</v>
      </c>
      <c r="D23" s="18">
        <f>VLOOKUP(1229,季財報!A:H,4)</f>
        <v>0</v>
      </c>
      <c r="E23" s="18">
        <f>VLOOKUP(1229,季財報!A:H,5)</f>
        <v>0</v>
      </c>
      <c r="F23" s="18">
        <f>VLOOKUP(1229,季財報!A:H,6)</f>
        <v>1</v>
      </c>
      <c r="G23" s="18">
        <f>VLOOKUP(1229,季財報!A:H,7)</f>
        <v>0</v>
      </c>
      <c r="N23" s="20">
        <f t="shared" si="0"/>
        <v>1</v>
      </c>
    </row>
    <row r="24" spans="1:14">
      <c r="A24" s="20">
        <v>1231</v>
      </c>
      <c r="C24" s="18">
        <f>VLOOKUP(1231,季財報!A:H,3)</f>
        <v>0</v>
      </c>
      <c r="D24" s="18">
        <f>VLOOKUP(1231,季財報!A:H,4)</f>
        <v>1</v>
      </c>
      <c r="E24" s="18">
        <f>VLOOKUP(1231,季財報!A:H,5)</f>
        <v>0</v>
      </c>
      <c r="F24" s="18">
        <f>VLOOKUP(1231,季財報!A:H,6)</f>
        <v>0</v>
      </c>
      <c r="G24" s="18">
        <f>VLOOKUP(1231,季財報!A:H,7)</f>
        <v>0</v>
      </c>
      <c r="N24" s="20">
        <f t="shared" si="0"/>
        <v>1</v>
      </c>
    </row>
    <row r="25" spans="1:14">
      <c r="A25" s="20">
        <v>1232</v>
      </c>
      <c r="C25" s="18">
        <f>VLOOKUP(1232,季財報!A:H,3)</f>
        <v>0</v>
      </c>
      <c r="D25" s="18">
        <f>VLOOKUP(1232,季財報!A:H,4)</f>
        <v>1</v>
      </c>
      <c r="E25" s="18">
        <f>VLOOKUP(1232,季財報!A:H,5)</f>
        <v>1</v>
      </c>
      <c r="F25" s="18">
        <f>VLOOKUP(1232,季財報!A:H,6)</f>
        <v>1</v>
      </c>
      <c r="G25" s="18">
        <f>VLOOKUP(1232,季財報!A:H,7)</f>
        <v>0</v>
      </c>
      <c r="N25" s="20">
        <f t="shared" si="0"/>
        <v>3</v>
      </c>
    </row>
    <row r="26" spans="1:14">
      <c r="A26" s="20">
        <v>1233</v>
      </c>
      <c r="C26" s="18">
        <f>VLOOKUP(1233,季財報!A:H,3)</f>
        <v>0</v>
      </c>
      <c r="D26" s="18">
        <f>VLOOKUP(1233,季財報!A:H,4)</f>
        <v>1</v>
      </c>
      <c r="E26" s="18">
        <f>VLOOKUP(1233,季財報!A:H,5)</f>
        <v>1</v>
      </c>
      <c r="F26" s="18">
        <f>VLOOKUP(1233,季財報!A:H,6)</f>
        <v>1</v>
      </c>
      <c r="G26" s="18">
        <f>VLOOKUP(1233,季財報!A:H,7)</f>
        <v>0</v>
      </c>
      <c r="N26" s="20">
        <f t="shared" si="0"/>
        <v>3</v>
      </c>
    </row>
    <row r="27" spans="1:14">
      <c r="A27" s="20">
        <v>1234</v>
      </c>
      <c r="C27" s="18">
        <f>VLOOKUP(1234,季財報!A:H,3)</f>
        <v>1</v>
      </c>
      <c r="D27" s="18">
        <f>VLOOKUP(1234,季財報!A:H,4)</f>
        <v>1</v>
      </c>
      <c r="E27" s="18">
        <f>VLOOKUP(1234,季財報!A:H,5)</f>
        <v>2</v>
      </c>
      <c r="F27" s="18">
        <f>VLOOKUP(1234,季財報!A:H,6)</f>
        <v>1</v>
      </c>
      <c r="G27" s="18">
        <f>VLOOKUP(1234,季財報!A:H,7)</f>
        <v>0</v>
      </c>
      <c r="N27" s="20">
        <f t="shared" si="0"/>
        <v>5</v>
      </c>
    </row>
    <row r="28" spans="1:14">
      <c r="A28" s="20">
        <v>1235</v>
      </c>
      <c r="C28" s="18">
        <f>VLOOKUP(1235,季財報!A:H,3)</f>
        <v>0</v>
      </c>
      <c r="D28" s="18">
        <f>VLOOKUP(1235,季財報!A:H,4)</f>
        <v>1</v>
      </c>
      <c r="E28" s="18">
        <f>VLOOKUP(1235,季財報!A:H,5)</f>
        <v>1</v>
      </c>
      <c r="F28" s="18">
        <f>VLOOKUP(1235,季財報!A:H,6)</f>
        <v>1</v>
      </c>
      <c r="G28" s="18">
        <f>VLOOKUP(1235,季財報!A:H,7)</f>
        <v>0</v>
      </c>
      <c r="N28" s="20">
        <f t="shared" si="0"/>
        <v>3</v>
      </c>
    </row>
    <row r="29" spans="1:14">
      <c r="A29" s="20">
        <v>1236</v>
      </c>
      <c r="C29" s="18">
        <f>VLOOKUP(1236,季財報!A:H,3)</f>
        <v>0</v>
      </c>
      <c r="D29" s="18">
        <f>VLOOKUP(1236,季財報!A:H,4)</f>
        <v>1</v>
      </c>
      <c r="E29" s="18">
        <f>VLOOKUP(1236,季財報!A:H,5)</f>
        <v>0</v>
      </c>
      <c r="F29" s="18">
        <f>VLOOKUP(1236,季財報!A:H,6)</f>
        <v>0</v>
      </c>
      <c r="G29" s="18">
        <f>VLOOKUP(1236,季財報!A:H,7)</f>
        <v>0</v>
      </c>
      <c r="N29" s="20">
        <f t="shared" si="0"/>
        <v>1</v>
      </c>
    </row>
    <row r="30" spans="1:14">
      <c r="A30" s="20">
        <v>1262</v>
      </c>
      <c r="C30" s="18">
        <f>VLOOKUP(1262,季財報!A:H,3)</f>
        <v>0</v>
      </c>
      <c r="D30" s="18">
        <f>VLOOKUP(1262,季財報!A:H,4)</f>
        <v>1</v>
      </c>
      <c r="E30" s="18">
        <f>VLOOKUP(1262,季財報!A:H,5)</f>
        <v>1</v>
      </c>
      <c r="F30" s="18">
        <f>VLOOKUP(1262,季財報!A:H,6)</f>
        <v>1</v>
      </c>
      <c r="G30" s="18">
        <f>VLOOKUP(1262,季財報!A:H,7)</f>
        <v>0</v>
      </c>
      <c r="N30" s="20">
        <f t="shared" si="0"/>
        <v>3</v>
      </c>
    </row>
    <row r="31" spans="1:14">
      <c r="A31" s="20">
        <v>4912</v>
      </c>
      <c r="C31" s="18">
        <f>VLOOKUP(4912,季財報!A:H,3)</f>
        <v>0</v>
      </c>
      <c r="D31" s="18">
        <f>VLOOKUP(4912,季財報!A:H,4)</f>
        <v>1</v>
      </c>
      <c r="E31" s="18">
        <f>VLOOKUP(4912,季財報!A:H,5)</f>
        <v>0</v>
      </c>
      <c r="F31" s="18">
        <f>VLOOKUP(4912,季財報!A:H,6)</f>
        <v>1</v>
      </c>
      <c r="G31" s="18">
        <f>VLOOKUP(4912,季財報!A:H,7)</f>
        <v>0</v>
      </c>
      <c r="N31" s="20">
        <f t="shared" si="0"/>
        <v>2</v>
      </c>
    </row>
    <row r="32" spans="1:14">
      <c r="A32" s="20">
        <v>4972</v>
      </c>
      <c r="C32" s="18">
        <f>VLOOKUP(4972,季財報!A:H,3)</f>
        <v>1</v>
      </c>
      <c r="D32" s="18">
        <f>VLOOKUP(4972,季財報!A:H,4)</f>
        <v>1</v>
      </c>
      <c r="E32" s="18">
        <f>VLOOKUP(4972,季財報!A:H,5)</f>
        <v>0</v>
      </c>
      <c r="F32" s="18">
        <f>VLOOKUP(4972,季財報!A:H,6)</f>
        <v>1</v>
      </c>
      <c r="G32" s="18">
        <f>VLOOKUP(4972,季財報!A:H,7)</f>
        <v>0</v>
      </c>
      <c r="N32" s="20">
        <f t="shared" si="0"/>
        <v>3</v>
      </c>
    </row>
    <row r="33" spans="1:14">
      <c r="A33" s="20">
        <v>2317</v>
      </c>
      <c r="C33" s="18">
        <f>VLOOKUP(2317,季財報!A:H,3)</f>
        <v>0</v>
      </c>
      <c r="D33" s="18">
        <f>VLOOKUP(2317,季財報!A:H,4)</f>
        <v>1</v>
      </c>
      <c r="E33" s="18">
        <f>VLOOKUP(2317,季財報!A:H,5)</f>
        <v>0</v>
      </c>
      <c r="F33" s="18">
        <f>VLOOKUP(2317,季財報!A:H,6)</f>
        <v>0</v>
      </c>
      <c r="G33" s="18">
        <f>VLOOKUP(2317,季財報!A:H,7)</f>
        <v>0</v>
      </c>
      <c r="N33" s="20">
        <f t="shared" si="0"/>
        <v>1</v>
      </c>
    </row>
    <row r="34" spans="1:14">
      <c r="A34" s="20">
        <v>3376</v>
      </c>
      <c r="C34" s="18">
        <f>VLOOKUP(3376,季財報!A:H,3)</f>
        <v>1</v>
      </c>
      <c r="D34" s="18">
        <f>VLOOKUP(3376,季財報!A:H,4)</f>
        <v>1</v>
      </c>
      <c r="E34" s="18">
        <f>VLOOKUP(3376,季財報!A:H,5)</f>
        <v>0</v>
      </c>
      <c r="F34" s="18">
        <f>VLOOKUP(3376,季財報!A:H,6)</f>
        <v>1</v>
      </c>
      <c r="G34" s="18">
        <f>VLOOKUP(3376,季財報!A:H,7)</f>
        <v>0</v>
      </c>
      <c r="N34" s="20">
        <f t="shared" si="0"/>
        <v>3</v>
      </c>
    </row>
    <row r="35" spans="1:14">
      <c r="A35" s="20">
        <v>2383</v>
      </c>
      <c r="C35" s="18">
        <f>VLOOKUP(2383,季財報!A:H,3)</f>
        <v>1</v>
      </c>
      <c r="D35" s="18">
        <f>VLOOKUP(2383,季財報!A:H,4)</f>
        <v>1</v>
      </c>
      <c r="E35" s="18">
        <f>VLOOKUP(2383,季財報!A:H,5)</f>
        <v>2</v>
      </c>
      <c r="F35" s="18">
        <f>VLOOKUP(2383,季財報!A:H,6)</f>
        <v>1</v>
      </c>
      <c r="G35" s="18">
        <f>VLOOKUP(2383,季財報!A:H,7)</f>
        <v>0</v>
      </c>
      <c r="N35" s="20">
        <f t="shared" si="0"/>
        <v>5</v>
      </c>
    </row>
    <row r="36" spans="1:14">
      <c r="A36" s="20">
        <v>8086</v>
      </c>
      <c r="C36" s="18">
        <f>VLOOKUP(8086,季財報!A:H,3)</f>
        <v>1</v>
      </c>
      <c r="D36" s="18">
        <f>VLOOKUP(8086,季財報!A:H,4)</f>
        <v>1</v>
      </c>
      <c r="E36" s="18">
        <f>VLOOKUP(8086,季財報!A:H,5)</f>
        <v>2</v>
      </c>
      <c r="F36" s="18">
        <f>VLOOKUP(8086,季財報!A:H,6)</f>
        <v>1</v>
      </c>
      <c r="G36" s="18">
        <f>VLOOKUP(8086,季財報!A:H,7)</f>
        <v>0</v>
      </c>
      <c r="N36" s="20">
        <f t="shared" si="0"/>
        <v>5</v>
      </c>
    </row>
  </sheetData>
  <sortState ref="A4:S35">
    <sortCondition descending="1" ref="G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71" r:id="rId3" name="CommandButton16"/>
    <control shapeId="2070" r:id="rId4" name="CommandButton15"/>
    <control shapeId="2069" r:id="rId5" name="CommandButton14"/>
    <control shapeId="2068" r:id="rId6" name="CommandButton13"/>
    <control shapeId="2062" r:id="rId7" name="CommandButton9"/>
    <control shapeId="2059" r:id="rId8" name="CommandButton7"/>
    <control shapeId="2053" r:id="rId9" name="CommandButton6"/>
    <control shapeId="2052" r:id="rId10" name="CommandButton5"/>
    <control shapeId="2051" r:id="rId11" name="CommandButton4"/>
    <control shapeId="2050" r:id="rId12" name="CommandButton3"/>
    <control shapeId="2049" r:id="rId13" name="CommandButton2"/>
    <control shapeId="2057" r:id="rId14" name="CommandButton1"/>
    <control shapeId="2063" r:id="rId15" name="CommandButton8"/>
    <control shapeId="2064" r:id="rId16" name="CommandButton10"/>
    <control shapeId="2065" r:id="rId17" name="CommandButton11"/>
    <control shapeId="2067" r:id="rId18" name="CommandButton1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N25" sqref="N25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2371</v>
      </c>
      <c r="AB1" s="30"/>
    </row>
    <row r="2" spans="1:28">
      <c r="A2" s="31">
        <v>1101</v>
      </c>
      <c r="B2" s="62">
        <v>1339</v>
      </c>
    </row>
    <row r="3" spans="1:28">
      <c r="A3" s="31">
        <v>1103</v>
      </c>
      <c r="B3" s="62">
        <v>1432</v>
      </c>
    </row>
    <row r="4" spans="1:28">
      <c r="A4" s="31">
        <v>1104</v>
      </c>
      <c r="B4" s="62">
        <v>1464</v>
      </c>
    </row>
    <row r="5" spans="1:28">
      <c r="A5" s="31">
        <v>1108</v>
      </c>
      <c r="B5" s="62">
        <v>1566</v>
      </c>
    </row>
    <row r="6" spans="1:28">
      <c r="A6" s="31">
        <v>1109</v>
      </c>
      <c r="B6" s="62">
        <v>1762</v>
      </c>
    </row>
    <row r="7" spans="1:28">
      <c r="A7" s="31">
        <v>1110</v>
      </c>
      <c r="B7" s="62">
        <v>2221</v>
      </c>
    </row>
    <row r="8" spans="1:28">
      <c r="A8" s="31">
        <v>1201</v>
      </c>
      <c r="B8" s="62">
        <v>2313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</row>
    <row r="9" spans="1:28">
      <c r="A9" s="31">
        <v>1203</v>
      </c>
      <c r="B9" s="62">
        <v>2373</v>
      </c>
      <c r="C9" s="32"/>
      <c r="D9" s="32" t="s">
        <v>2368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</row>
    <row r="10" spans="1:28">
      <c r="A10" s="31">
        <v>1213</v>
      </c>
      <c r="B10" s="62">
        <v>2392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</row>
    <row r="11" spans="1:28">
      <c r="A11" s="31">
        <v>1215</v>
      </c>
      <c r="B11" s="62">
        <v>2406</v>
      </c>
      <c r="C11" s="32"/>
      <c r="D11" s="32" t="s">
        <v>2369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</row>
    <row r="12" spans="1:28">
      <c r="A12" s="31">
        <v>1216</v>
      </c>
      <c r="B12" s="62">
        <v>2433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</row>
    <row r="13" spans="1:28">
      <c r="A13" s="31">
        <v>1217</v>
      </c>
      <c r="B13" s="62">
        <v>2488</v>
      </c>
      <c r="C13" s="32"/>
      <c r="D13" s="32" t="s">
        <v>2370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</row>
    <row r="14" spans="1:28">
      <c r="A14" s="31">
        <v>1218</v>
      </c>
      <c r="B14" s="62">
        <v>2509</v>
      </c>
      <c r="C14" s="32"/>
      <c r="D14" s="32" t="s">
        <v>2299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</row>
    <row r="15" spans="1:28">
      <c r="A15" s="31">
        <v>1219</v>
      </c>
      <c r="B15" s="62">
        <v>2637</v>
      </c>
      <c r="C15" s="32"/>
      <c r="D15" s="32" t="s">
        <v>2300</v>
      </c>
      <c r="E15" s="32" t="s">
        <v>2301</v>
      </c>
      <c r="F15" s="32" t="s">
        <v>2302</v>
      </c>
      <c r="G15" s="32" t="s">
        <v>2303</v>
      </c>
      <c r="H15" s="32" t="s">
        <v>2304</v>
      </c>
      <c r="I15" s="32" t="s">
        <v>2305</v>
      </c>
      <c r="J15" s="32" t="s">
        <v>2304</v>
      </c>
      <c r="K15" s="32"/>
      <c r="L15" s="32"/>
      <c r="M15" s="32"/>
      <c r="N15" s="32"/>
      <c r="O15" s="32"/>
      <c r="P15" s="32"/>
      <c r="Q15" s="32"/>
      <c r="R15" s="32"/>
      <c r="S15" s="32"/>
    </row>
    <row r="16" spans="1:28">
      <c r="A16" s="31">
        <v>1220</v>
      </c>
      <c r="B16" s="62">
        <v>3046</v>
      </c>
      <c r="C16" s="32"/>
      <c r="D16" s="32" t="s">
        <v>2306</v>
      </c>
      <c r="E16" s="177">
        <v>119179</v>
      </c>
      <c r="F16" s="178">
        <v>-7.3700000000000002E-2</v>
      </c>
      <c r="G16" s="177">
        <v>241161</v>
      </c>
      <c r="H16" s="178">
        <v>-0.50580000000000003</v>
      </c>
      <c r="I16" s="177">
        <v>1703029</v>
      </c>
      <c r="J16" s="178">
        <v>-0.27160000000000001</v>
      </c>
      <c r="K16" s="32"/>
      <c r="L16" s="32"/>
      <c r="M16" s="32"/>
      <c r="N16" s="32"/>
      <c r="O16" s="32"/>
      <c r="P16" s="32"/>
      <c r="Q16" s="32"/>
      <c r="R16" s="32"/>
      <c r="S16" s="32"/>
    </row>
    <row r="17" spans="1:19">
      <c r="A17" s="31">
        <v>1225</v>
      </c>
      <c r="B17" s="62">
        <v>3152</v>
      </c>
      <c r="C17" s="32"/>
      <c r="D17" s="32" t="s">
        <v>2307</v>
      </c>
      <c r="E17" s="177">
        <v>128660</v>
      </c>
      <c r="F17" s="178">
        <v>-0.1135</v>
      </c>
      <c r="G17" s="177">
        <v>303926</v>
      </c>
      <c r="H17" s="178">
        <v>-0.57669999999999999</v>
      </c>
      <c r="I17" s="177">
        <v>1583850</v>
      </c>
      <c r="J17" s="178">
        <v>-0.2447</v>
      </c>
      <c r="K17" s="32"/>
      <c r="L17" s="32"/>
      <c r="M17" s="32"/>
      <c r="N17" s="32"/>
      <c r="O17" s="32"/>
      <c r="P17" s="32"/>
      <c r="Q17" s="32"/>
      <c r="R17" s="32"/>
      <c r="S17" s="32"/>
    </row>
    <row r="18" spans="1:19">
      <c r="A18" s="31">
        <v>1227</v>
      </c>
      <c r="B18" s="62">
        <v>3169</v>
      </c>
      <c r="C18" s="32"/>
      <c r="D18" s="32" t="s">
        <v>2308</v>
      </c>
      <c r="E18" s="177">
        <v>145130</v>
      </c>
      <c r="F18" s="178">
        <v>-0.22359999999999999</v>
      </c>
      <c r="G18" s="177">
        <v>237780</v>
      </c>
      <c r="H18" s="178">
        <v>-0.3896</v>
      </c>
      <c r="I18" s="177">
        <v>1455190</v>
      </c>
      <c r="J18" s="178">
        <v>-0.18840000000000001</v>
      </c>
      <c r="K18" s="32"/>
      <c r="L18" s="32"/>
      <c r="M18" s="32"/>
      <c r="N18" s="32"/>
      <c r="O18" s="32"/>
      <c r="P18" s="32"/>
      <c r="Q18" s="32"/>
      <c r="R18" s="32"/>
      <c r="S18" s="32"/>
    </row>
    <row r="19" spans="1:19">
      <c r="A19" s="31">
        <v>1229</v>
      </c>
      <c r="B19" s="62">
        <v>3205</v>
      </c>
      <c r="C19" s="32"/>
      <c r="D19" s="32" t="s">
        <v>2309</v>
      </c>
      <c r="E19" s="177">
        <v>186934</v>
      </c>
      <c r="F19" s="178">
        <v>0.27189999999999998</v>
      </c>
      <c r="G19" s="177">
        <v>315849</v>
      </c>
      <c r="H19" s="178">
        <v>-0.40820000000000001</v>
      </c>
      <c r="I19" s="177">
        <v>1310060</v>
      </c>
      <c r="J19" s="178">
        <v>-0.15770000000000001</v>
      </c>
      <c r="K19" s="32"/>
      <c r="L19" s="32"/>
      <c r="M19" s="32"/>
      <c r="N19" s="32"/>
      <c r="O19" s="32"/>
      <c r="P19" s="32"/>
      <c r="Q19" s="32"/>
      <c r="R19" s="32"/>
      <c r="S19" s="32"/>
    </row>
    <row r="20" spans="1:19">
      <c r="A20" s="31">
        <v>1231</v>
      </c>
      <c r="B20" s="62">
        <v>3234</v>
      </c>
      <c r="C20" s="32"/>
      <c r="D20" s="32" t="s">
        <v>2310</v>
      </c>
      <c r="E20" s="177">
        <v>146977</v>
      </c>
      <c r="F20" s="178">
        <v>-0.3286</v>
      </c>
      <c r="G20" s="177">
        <v>298285</v>
      </c>
      <c r="H20" s="178">
        <v>-0.50729999999999997</v>
      </c>
      <c r="I20" s="177">
        <v>1123126</v>
      </c>
      <c r="J20" s="178">
        <v>-9.3899999999999997E-2</v>
      </c>
      <c r="K20" s="32"/>
      <c r="L20" s="32"/>
      <c r="M20" s="32"/>
      <c r="N20" s="32"/>
      <c r="O20" s="32"/>
      <c r="P20" s="32"/>
      <c r="Q20" s="32"/>
      <c r="R20" s="32"/>
      <c r="S20" s="32"/>
    </row>
    <row r="21" spans="1:19">
      <c r="A21" s="31">
        <v>1232</v>
      </c>
      <c r="B21" s="62">
        <v>3294</v>
      </c>
      <c r="C21" s="32"/>
      <c r="D21" s="32" t="s">
        <v>2311</v>
      </c>
      <c r="E21" s="177">
        <v>218900</v>
      </c>
      <c r="F21" s="178">
        <v>7.8200000000000006E-2</v>
      </c>
      <c r="G21" s="177">
        <v>201665</v>
      </c>
      <c r="H21" s="178">
        <v>8.5500000000000007E-2</v>
      </c>
      <c r="I21" s="177">
        <v>976149</v>
      </c>
      <c r="J21" s="178">
        <v>3.7199999999999997E-2</v>
      </c>
      <c r="K21" s="32"/>
      <c r="L21" s="32"/>
      <c r="M21" s="32"/>
      <c r="N21" s="32"/>
      <c r="O21" s="32"/>
      <c r="P21" s="32"/>
      <c r="Q21" s="32"/>
      <c r="R21" s="32"/>
      <c r="S21" s="32"/>
    </row>
    <row r="22" spans="1:19">
      <c r="A22" s="31">
        <v>1233</v>
      </c>
      <c r="B22" s="62">
        <v>3499</v>
      </c>
      <c r="C22" s="32"/>
      <c r="D22" s="32" t="s">
        <v>2312</v>
      </c>
      <c r="E22" s="177">
        <v>203024</v>
      </c>
      <c r="F22" s="178">
        <v>-0.1</v>
      </c>
      <c r="G22" s="177">
        <v>199988</v>
      </c>
      <c r="H22" s="178">
        <v>1.52E-2</v>
      </c>
      <c r="I22" s="177">
        <v>757249</v>
      </c>
      <c r="J22" s="178">
        <v>2.4E-2</v>
      </c>
      <c r="K22" s="32"/>
      <c r="L22" s="32"/>
      <c r="M22" s="32"/>
      <c r="N22" s="32"/>
      <c r="O22" s="32"/>
      <c r="P22" s="32"/>
      <c r="Q22" s="32"/>
      <c r="R22" s="32"/>
      <c r="S22" s="32"/>
    </row>
    <row r="23" spans="1:19">
      <c r="A23" s="31">
        <v>1234</v>
      </c>
      <c r="B23" s="62">
        <v>3512</v>
      </c>
      <c r="C23" s="32"/>
      <c r="D23" s="32" t="s">
        <v>2313</v>
      </c>
      <c r="E23" s="177">
        <v>225576</v>
      </c>
      <c r="F23" s="178">
        <v>0.6018</v>
      </c>
      <c r="G23" s="177">
        <v>199671</v>
      </c>
      <c r="H23" s="178">
        <v>0.12970000000000001</v>
      </c>
      <c r="I23" s="177">
        <v>554225</v>
      </c>
      <c r="J23" s="178">
        <v>2.7199999999999998E-2</v>
      </c>
      <c r="K23" s="32"/>
      <c r="L23" s="32"/>
      <c r="M23" s="32"/>
      <c r="N23" s="32"/>
      <c r="O23" s="32"/>
      <c r="P23" s="32"/>
      <c r="Q23" s="32"/>
      <c r="R23" s="32"/>
      <c r="S23" s="32"/>
    </row>
    <row r="24" spans="1:19">
      <c r="A24" s="31">
        <v>1235</v>
      </c>
      <c r="B24" s="62">
        <v>3552</v>
      </c>
      <c r="C24" s="32"/>
      <c r="D24" s="32" t="s">
        <v>2314</v>
      </c>
      <c r="E24" s="177">
        <v>140824</v>
      </c>
      <c r="F24" s="178">
        <v>-0.25019999999999998</v>
      </c>
      <c r="G24" s="177">
        <v>143322</v>
      </c>
      <c r="H24" s="178">
        <v>-1.7399999999999999E-2</v>
      </c>
      <c r="I24" s="177">
        <v>328649</v>
      </c>
      <c r="J24" s="178">
        <v>-3.3000000000000002E-2</v>
      </c>
      <c r="K24" s="32"/>
      <c r="L24" s="32"/>
      <c r="M24" s="32"/>
      <c r="N24" s="32"/>
      <c r="O24" s="32"/>
      <c r="P24" s="32"/>
      <c r="Q24" s="32"/>
      <c r="R24" s="32"/>
      <c r="S24" s="32"/>
    </row>
    <row r="25" spans="1:19">
      <c r="A25" s="31">
        <v>1236</v>
      </c>
      <c r="B25" s="62">
        <v>3691</v>
      </c>
      <c r="C25" s="32"/>
      <c r="D25" s="32" t="s">
        <v>2315</v>
      </c>
      <c r="E25" s="177">
        <v>187825</v>
      </c>
      <c r="F25" s="178">
        <v>-0.27210000000000001</v>
      </c>
      <c r="G25" s="177">
        <v>196532</v>
      </c>
      <c r="H25" s="178">
        <v>-4.4299999999999999E-2</v>
      </c>
      <c r="I25" s="177">
        <v>187825</v>
      </c>
      <c r="J25" s="178">
        <v>-4.4299999999999999E-2</v>
      </c>
      <c r="K25" s="32"/>
      <c r="L25" s="32"/>
      <c r="M25" s="32"/>
      <c r="N25" s="32"/>
      <c r="O25" s="32"/>
      <c r="P25" s="32"/>
      <c r="Q25" s="32"/>
      <c r="R25" s="32"/>
      <c r="S25" s="32"/>
    </row>
    <row r="26" spans="1:19">
      <c r="A26" s="31">
        <v>1256</v>
      </c>
      <c r="B26" s="62">
        <v>3707</v>
      </c>
      <c r="C26" s="32"/>
      <c r="D26" s="32" t="s">
        <v>2316</v>
      </c>
      <c r="E26" s="177">
        <v>258024</v>
      </c>
      <c r="F26" s="178">
        <v>0.73580000000000001</v>
      </c>
      <c r="G26" s="177">
        <v>212867</v>
      </c>
      <c r="H26" s="178">
        <v>0.21210000000000001</v>
      </c>
      <c r="I26" s="177">
        <v>2744851</v>
      </c>
      <c r="J26" s="178">
        <v>-4.5999999999999999E-2</v>
      </c>
      <c r="K26" s="32"/>
      <c r="L26" s="32"/>
      <c r="M26" s="32"/>
      <c r="N26" s="32"/>
      <c r="O26" s="32"/>
      <c r="P26" s="32"/>
      <c r="Q26" s="32"/>
      <c r="R26" s="32"/>
      <c r="S26" s="32"/>
    </row>
    <row r="27" spans="1:19">
      <c r="A27" s="31">
        <v>1258</v>
      </c>
      <c r="B27" s="62">
        <v>4137</v>
      </c>
      <c r="C27" s="32"/>
      <c r="D27" s="32" t="s">
        <v>2317</v>
      </c>
      <c r="E27" s="177">
        <v>148648</v>
      </c>
      <c r="F27" s="178">
        <v>-0.3836</v>
      </c>
      <c r="G27" s="177">
        <v>176537</v>
      </c>
      <c r="H27" s="178">
        <v>-0.158</v>
      </c>
      <c r="I27" s="177">
        <v>2486827</v>
      </c>
      <c r="J27" s="178">
        <v>-6.6600000000000006E-2</v>
      </c>
      <c r="K27" s="32"/>
      <c r="L27" s="32"/>
      <c r="M27" s="32"/>
      <c r="N27" s="32"/>
      <c r="O27" s="32"/>
      <c r="P27" s="32"/>
      <c r="Q27" s="32"/>
      <c r="R27" s="32"/>
      <c r="S27" s="32"/>
    </row>
    <row r="28" spans="1:19">
      <c r="A28" s="31">
        <v>1259</v>
      </c>
      <c r="B28" s="62">
        <v>4180</v>
      </c>
      <c r="C28" s="32"/>
      <c r="D28" s="32" t="s">
        <v>2318</v>
      </c>
      <c r="E28" s="177">
        <v>241161</v>
      </c>
      <c r="F28" s="178">
        <v>-0.20649999999999999</v>
      </c>
      <c r="G28" s="177">
        <v>202491</v>
      </c>
      <c r="H28" s="178">
        <v>0.191</v>
      </c>
      <c r="I28" s="177">
        <v>2338179</v>
      </c>
      <c r="J28" s="178">
        <v>-6.0100000000000001E-2</v>
      </c>
      <c r="K28" s="32"/>
      <c r="L28" s="32"/>
      <c r="M28" s="32"/>
      <c r="N28" s="32"/>
      <c r="O28" s="32"/>
      <c r="P28" s="32"/>
      <c r="Q28" s="32"/>
      <c r="R28" s="32"/>
      <c r="S28" s="32"/>
    </row>
    <row r="29" spans="1:19">
      <c r="A29" s="31">
        <v>1262</v>
      </c>
      <c r="B29" s="62">
        <v>4415</v>
      </c>
      <c r="C29" s="32"/>
      <c r="D29" s="32" t="s">
        <v>2319</v>
      </c>
      <c r="E29" s="177">
        <v>303926</v>
      </c>
      <c r="F29" s="178">
        <v>0.2782</v>
      </c>
      <c r="G29" s="177">
        <v>165340</v>
      </c>
      <c r="H29" s="178">
        <v>0.83819999999999995</v>
      </c>
      <c r="I29" s="177">
        <v>2097018</v>
      </c>
      <c r="J29" s="178">
        <v>-8.2400000000000001E-2</v>
      </c>
      <c r="K29" s="32"/>
      <c r="L29" s="32"/>
      <c r="M29" s="32"/>
      <c r="N29" s="32"/>
      <c r="O29" s="32"/>
      <c r="P29" s="32"/>
      <c r="Q29" s="32"/>
      <c r="R29" s="32"/>
      <c r="S29" s="32"/>
    </row>
    <row r="30" spans="1:19">
      <c r="A30" s="31">
        <v>1264</v>
      </c>
      <c r="B30" s="62">
        <v>4420</v>
      </c>
      <c r="C30" s="32"/>
      <c r="D30" s="32" t="s">
        <v>2320</v>
      </c>
      <c r="E30" s="177">
        <v>237780</v>
      </c>
      <c r="F30" s="178">
        <v>-0.2472</v>
      </c>
      <c r="G30" s="177">
        <v>238490</v>
      </c>
      <c r="H30" s="178">
        <v>-3.0000000000000001E-3</v>
      </c>
      <c r="I30" s="177">
        <v>1793092</v>
      </c>
      <c r="J30" s="178">
        <v>-0.1542</v>
      </c>
      <c r="K30" s="32"/>
      <c r="L30" s="32"/>
      <c r="M30" s="32"/>
      <c r="N30" s="32"/>
      <c r="O30" s="32"/>
      <c r="P30" s="32"/>
      <c r="Q30" s="32"/>
      <c r="R30" s="32"/>
      <c r="S30" s="32"/>
    </row>
    <row r="31" spans="1:19">
      <c r="A31" s="31">
        <v>1301</v>
      </c>
      <c r="B31" s="62">
        <v>4502</v>
      </c>
      <c r="C31" s="32"/>
      <c r="D31" s="32" t="s">
        <v>2321</v>
      </c>
      <c r="E31" s="177">
        <v>315849</v>
      </c>
      <c r="F31" s="178">
        <v>5.8900000000000001E-2</v>
      </c>
      <c r="G31" s="177">
        <v>174682</v>
      </c>
      <c r="H31" s="178">
        <v>0.80810000000000004</v>
      </c>
      <c r="I31" s="177">
        <v>1555312</v>
      </c>
      <c r="J31" s="178">
        <v>-0.17330000000000001</v>
      </c>
      <c r="K31" s="32"/>
      <c r="L31" s="32"/>
      <c r="M31" s="32"/>
      <c r="N31" s="32"/>
      <c r="O31" s="32"/>
      <c r="P31" s="32"/>
      <c r="Q31" s="32"/>
      <c r="R31" s="32"/>
      <c r="S31" s="32"/>
    </row>
    <row r="32" spans="1:19">
      <c r="A32" s="31">
        <v>1303</v>
      </c>
      <c r="B32" s="62">
        <v>4915</v>
      </c>
      <c r="C32" s="32"/>
      <c r="D32" s="32" t="s">
        <v>2322</v>
      </c>
      <c r="E32" s="177">
        <v>298285</v>
      </c>
      <c r="F32" s="178">
        <v>0.47910000000000003</v>
      </c>
      <c r="G32" s="177">
        <v>273664</v>
      </c>
      <c r="H32" s="178">
        <v>0.09</v>
      </c>
      <c r="I32" s="177">
        <v>1239463</v>
      </c>
      <c r="J32" s="178">
        <v>-0.27379999999999999</v>
      </c>
      <c r="K32" s="32"/>
      <c r="L32" s="32"/>
      <c r="M32" s="32"/>
      <c r="N32" s="32"/>
      <c r="O32" s="32"/>
      <c r="P32" s="32"/>
      <c r="Q32" s="32"/>
      <c r="R32" s="32"/>
      <c r="S32" s="32"/>
    </row>
    <row r="33" spans="1:19">
      <c r="A33" s="31">
        <v>1304</v>
      </c>
      <c r="B33" s="62">
        <v>4938</v>
      </c>
      <c r="C33" s="32"/>
      <c r="D33" s="32" t="s">
        <v>2323</v>
      </c>
      <c r="E33" s="177">
        <v>201665</v>
      </c>
      <c r="F33" s="178">
        <v>8.3999999999999995E-3</v>
      </c>
      <c r="G33" s="177">
        <v>251782</v>
      </c>
      <c r="H33" s="178">
        <v>-0.19900000000000001</v>
      </c>
      <c r="I33" s="177">
        <v>941178</v>
      </c>
      <c r="J33" s="178">
        <v>-0.34329999999999999</v>
      </c>
      <c r="K33" s="32"/>
      <c r="L33" s="32"/>
      <c r="M33" s="32"/>
      <c r="N33" s="32"/>
      <c r="O33" s="32"/>
      <c r="P33" s="32"/>
      <c r="Q33" s="32"/>
      <c r="R33" s="32"/>
      <c r="S33" s="32"/>
    </row>
    <row r="34" spans="1:19">
      <c r="A34" s="31">
        <v>1305</v>
      </c>
      <c r="B34" s="62">
        <v>4965</v>
      </c>
      <c r="C34" s="32"/>
      <c r="D34" s="32" t="s">
        <v>2324</v>
      </c>
      <c r="E34" s="177">
        <v>199988</v>
      </c>
      <c r="F34" s="178">
        <v>1.6000000000000001E-3</v>
      </c>
      <c r="G34" s="177">
        <v>241566</v>
      </c>
      <c r="H34" s="178">
        <v>-0.1721</v>
      </c>
      <c r="I34" s="177">
        <v>739513</v>
      </c>
      <c r="J34" s="178">
        <v>-0.374</v>
      </c>
      <c r="K34" s="32"/>
      <c r="L34" s="32"/>
      <c r="M34" s="32"/>
      <c r="N34" s="32"/>
      <c r="O34" s="32"/>
      <c r="P34" s="32"/>
      <c r="Q34" s="32"/>
      <c r="R34" s="32"/>
      <c r="S34" s="32"/>
    </row>
    <row r="35" spans="1:19">
      <c r="A35" s="31">
        <v>1307</v>
      </c>
      <c r="B35" s="62">
        <v>5206</v>
      </c>
      <c r="C35" s="32"/>
      <c r="D35" s="32" t="s">
        <v>2325</v>
      </c>
      <c r="E35" s="177">
        <v>199671</v>
      </c>
      <c r="F35" s="178">
        <v>0.39319999999999999</v>
      </c>
      <c r="G35" s="177">
        <v>313861</v>
      </c>
      <c r="H35" s="178">
        <v>-0.36380000000000001</v>
      </c>
      <c r="I35" s="177">
        <v>539525</v>
      </c>
      <c r="J35" s="178">
        <v>-0.4259</v>
      </c>
      <c r="K35" s="32"/>
      <c r="L35" s="32"/>
      <c r="M35" s="32"/>
      <c r="N35" s="32"/>
      <c r="O35" s="32"/>
      <c r="P35" s="32"/>
      <c r="Q35" s="32"/>
      <c r="R35" s="32"/>
      <c r="S35" s="32"/>
    </row>
    <row r="36" spans="1:19">
      <c r="A36" s="31">
        <v>1308</v>
      </c>
      <c r="B36" s="62">
        <v>5225</v>
      </c>
      <c r="C36" s="32"/>
      <c r="D36" s="32" t="s">
        <v>2326</v>
      </c>
      <c r="E36" s="177">
        <v>143322</v>
      </c>
      <c r="F36" s="178">
        <v>-0.2707</v>
      </c>
      <c r="G36" s="177">
        <v>327002</v>
      </c>
      <c r="H36" s="178">
        <v>-0.56169999999999998</v>
      </c>
      <c r="I36" s="177">
        <v>339854</v>
      </c>
      <c r="J36" s="178">
        <v>-0.45700000000000002</v>
      </c>
      <c r="K36" s="32"/>
      <c r="L36" s="32"/>
      <c r="M36" s="32"/>
      <c r="N36" s="32"/>
      <c r="O36" s="32"/>
      <c r="P36" s="32"/>
      <c r="Q36" s="32"/>
      <c r="R36" s="32"/>
      <c r="S36" s="32"/>
    </row>
    <row r="37" spans="1:19">
      <c r="A37" s="31">
        <v>1309</v>
      </c>
      <c r="B37" s="62">
        <v>5392</v>
      </c>
      <c r="C37" s="32"/>
      <c r="D37" s="32" t="s">
        <v>2327</v>
      </c>
      <c r="E37" s="177">
        <v>196532</v>
      </c>
      <c r="F37" s="178">
        <v>-7.6700000000000004E-2</v>
      </c>
      <c r="G37" s="177">
        <v>298876</v>
      </c>
      <c r="H37" s="178">
        <v>-0.34239999999999998</v>
      </c>
      <c r="I37" s="177">
        <v>196532</v>
      </c>
      <c r="J37" s="178">
        <v>-0.34239999999999998</v>
      </c>
      <c r="K37" s="32"/>
      <c r="L37" s="32"/>
      <c r="M37" s="32"/>
      <c r="N37" s="32"/>
      <c r="O37" s="32"/>
      <c r="P37" s="32"/>
      <c r="Q37" s="32"/>
      <c r="R37" s="32"/>
      <c r="S37" s="32"/>
    </row>
    <row r="38" spans="1:19">
      <c r="A38" s="31">
        <v>1310</v>
      </c>
      <c r="B38" s="62">
        <v>6103</v>
      </c>
      <c r="C38" s="32"/>
      <c r="D38" s="32" t="s">
        <v>2328</v>
      </c>
      <c r="E38" s="177">
        <v>212867</v>
      </c>
      <c r="F38" s="178">
        <v>0.20580000000000001</v>
      </c>
      <c r="G38" s="177">
        <v>332739</v>
      </c>
      <c r="H38" s="178">
        <v>-0.36030000000000001</v>
      </c>
      <c r="I38" s="177">
        <v>2877158</v>
      </c>
      <c r="J38" s="178">
        <v>-0.32879999999999998</v>
      </c>
      <c r="K38" s="32"/>
      <c r="L38" s="32"/>
      <c r="M38" s="32"/>
      <c r="N38" s="32"/>
      <c r="O38" s="32"/>
      <c r="P38" s="32"/>
      <c r="Q38" s="32"/>
      <c r="R38" s="32"/>
      <c r="S38" s="32"/>
    </row>
    <row r="39" spans="1:19">
      <c r="A39" s="31">
        <v>1312</v>
      </c>
      <c r="B39" s="62">
        <v>6184</v>
      </c>
      <c r="C39" s="32"/>
      <c r="D39" s="32" t="s">
        <v>2329</v>
      </c>
      <c r="E39" s="177">
        <v>176537</v>
      </c>
      <c r="F39" s="178">
        <v>-0.12820000000000001</v>
      </c>
      <c r="G39" s="177">
        <v>274638</v>
      </c>
      <c r="H39" s="178">
        <v>-0.35720000000000002</v>
      </c>
      <c r="I39" s="177">
        <v>2664291</v>
      </c>
      <c r="J39" s="178">
        <v>-0.32619999999999999</v>
      </c>
      <c r="K39" s="32"/>
      <c r="L39" s="32"/>
      <c r="M39" s="32"/>
      <c r="N39" s="32"/>
      <c r="O39" s="32"/>
      <c r="P39" s="32"/>
      <c r="Q39" s="32"/>
      <c r="R39" s="32"/>
      <c r="S39" s="32"/>
    </row>
    <row r="40" spans="1:19">
      <c r="A40" s="31">
        <v>1313</v>
      </c>
      <c r="B40" s="62">
        <v>6227</v>
      </c>
      <c r="C40" s="32"/>
      <c r="D40" s="32" t="s">
        <v>2330</v>
      </c>
      <c r="E40" s="177">
        <v>202491</v>
      </c>
      <c r="F40" s="178">
        <v>0.22470000000000001</v>
      </c>
      <c r="G40" s="177">
        <v>335061</v>
      </c>
      <c r="H40" s="178">
        <v>-0.3957</v>
      </c>
      <c r="I40" s="177">
        <v>2487754</v>
      </c>
      <c r="J40" s="178">
        <v>-0.32390000000000002</v>
      </c>
      <c r="K40" s="32"/>
      <c r="L40" s="32"/>
      <c r="M40" s="32"/>
      <c r="N40" s="32"/>
      <c r="O40" s="32"/>
      <c r="P40" s="32"/>
      <c r="Q40" s="32"/>
      <c r="R40" s="32"/>
      <c r="S40" s="32"/>
    </row>
    <row r="41" spans="1:19">
      <c r="A41" s="31">
        <v>1314</v>
      </c>
      <c r="B41" s="62">
        <v>6233</v>
      </c>
      <c r="C41" s="32"/>
      <c r="D41" s="32" t="s">
        <v>2331</v>
      </c>
      <c r="E41" s="177">
        <v>165340</v>
      </c>
      <c r="F41" s="178">
        <v>-0.30669999999999997</v>
      </c>
      <c r="G41" s="177">
        <v>359055</v>
      </c>
      <c r="H41" s="178">
        <v>-0.53949999999999998</v>
      </c>
      <c r="I41" s="177">
        <v>2285263</v>
      </c>
      <c r="J41" s="178">
        <v>-0.31669999999999998</v>
      </c>
      <c r="K41" s="32"/>
      <c r="L41" s="32"/>
      <c r="M41" s="32"/>
      <c r="N41" s="32"/>
      <c r="O41" s="32"/>
      <c r="P41" s="32"/>
      <c r="Q41" s="32"/>
      <c r="R41" s="32"/>
      <c r="S41" s="32"/>
    </row>
    <row r="42" spans="1:19">
      <c r="A42" s="31">
        <v>1315</v>
      </c>
      <c r="B42" s="62">
        <v>6235</v>
      </c>
      <c r="C42" s="32"/>
      <c r="D42" s="32" t="s">
        <v>2332</v>
      </c>
      <c r="E42" s="177">
        <v>238490</v>
      </c>
      <c r="F42" s="178">
        <v>0.36530000000000001</v>
      </c>
      <c r="G42" s="177">
        <v>293609</v>
      </c>
      <c r="H42" s="178">
        <v>-0.18770000000000001</v>
      </c>
      <c r="I42" s="177">
        <v>2119923</v>
      </c>
      <c r="J42" s="178">
        <v>-0.28989999999999999</v>
      </c>
      <c r="K42" s="32"/>
      <c r="L42" s="32"/>
      <c r="M42" s="32"/>
      <c r="N42" s="32"/>
      <c r="O42" s="32"/>
      <c r="P42" s="32"/>
      <c r="Q42" s="32"/>
      <c r="R42" s="32"/>
      <c r="S42" s="32"/>
    </row>
    <row r="43" spans="1:19">
      <c r="A43" s="31">
        <v>1316</v>
      </c>
      <c r="B43" s="62">
        <v>8077</v>
      </c>
      <c r="C43" s="32"/>
      <c r="D43" s="32" t="s">
        <v>2333</v>
      </c>
      <c r="E43" s="177">
        <v>174682</v>
      </c>
      <c r="F43" s="178">
        <v>-0.36170000000000002</v>
      </c>
      <c r="G43" s="177">
        <v>358743</v>
      </c>
      <c r="H43" s="178">
        <v>-0.5131</v>
      </c>
      <c r="I43" s="177">
        <v>1881433</v>
      </c>
      <c r="J43" s="178">
        <v>-0.30099999999999999</v>
      </c>
      <c r="K43" s="32"/>
      <c r="L43" s="32"/>
      <c r="M43" s="32"/>
      <c r="N43" s="32"/>
      <c r="O43" s="32"/>
      <c r="P43" s="32"/>
      <c r="Q43" s="32"/>
      <c r="R43" s="32"/>
      <c r="S43" s="32"/>
    </row>
    <row r="44" spans="1:19">
      <c r="A44" s="31">
        <v>1319</v>
      </c>
      <c r="B44" s="62">
        <v>8096</v>
      </c>
      <c r="C44" s="32"/>
      <c r="D44" s="32" t="s">
        <v>2334</v>
      </c>
      <c r="E44" s="177">
        <v>273664</v>
      </c>
      <c r="F44" s="178">
        <v>8.6900000000000005E-2</v>
      </c>
      <c r="G44" s="177">
        <v>259044</v>
      </c>
      <c r="H44" s="178">
        <v>5.6399999999999999E-2</v>
      </c>
      <c r="I44" s="177">
        <v>1706751</v>
      </c>
      <c r="J44" s="178">
        <v>-0.26840000000000003</v>
      </c>
      <c r="K44" s="32"/>
      <c r="L44" s="32"/>
      <c r="M44" s="32"/>
      <c r="N44" s="32"/>
      <c r="O44" s="32"/>
      <c r="P44" s="32"/>
      <c r="Q44" s="32"/>
      <c r="R44" s="32"/>
      <c r="S44" s="32"/>
    </row>
    <row r="45" spans="1:19">
      <c r="A45" s="31">
        <v>1321</v>
      </c>
      <c r="B45" s="62">
        <v>8422</v>
      </c>
      <c r="C45" s="32"/>
      <c r="D45" s="32" t="s">
        <v>2335</v>
      </c>
      <c r="E45" s="177">
        <v>251782</v>
      </c>
      <c r="F45" s="178">
        <v>4.2299999999999997E-2</v>
      </c>
      <c r="G45" s="177">
        <v>345008</v>
      </c>
      <c r="H45" s="178">
        <v>-0.2702</v>
      </c>
      <c r="I45" s="177">
        <v>1433087</v>
      </c>
      <c r="J45" s="178">
        <v>-0.309</v>
      </c>
      <c r="K45" s="32"/>
      <c r="L45" s="32"/>
      <c r="M45" s="32"/>
      <c r="N45" s="32"/>
      <c r="O45" s="32"/>
      <c r="P45" s="32"/>
      <c r="Q45" s="32"/>
      <c r="R45" s="32"/>
      <c r="S45" s="32"/>
    </row>
    <row r="46" spans="1:19">
      <c r="A46" s="31">
        <v>1323</v>
      </c>
      <c r="C46" s="32"/>
      <c r="D46" s="32" t="s">
        <v>2336</v>
      </c>
      <c r="E46" s="177">
        <v>241566</v>
      </c>
      <c r="F46" s="178">
        <v>-0.2303</v>
      </c>
      <c r="G46" s="177">
        <v>441721</v>
      </c>
      <c r="H46" s="178">
        <v>-0.4531</v>
      </c>
      <c r="I46" s="177">
        <v>1181305</v>
      </c>
      <c r="J46" s="178">
        <v>-0.31680000000000003</v>
      </c>
      <c r="K46" s="32"/>
      <c r="L46" s="32"/>
      <c r="M46" s="32"/>
      <c r="N46" s="32"/>
      <c r="O46" s="32"/>
      <c r="P46" s="32"/>
      <c r="Q46" s="32"/>
      <c r="R46" s="32"/>
      <c r="S46" s="32"/>
    </row>
    <row r="47" spans="1:19">
      <c r="A47" s="31">
        <v>1324</v>
      </c>
      <c r="C47" s="32"/>
      <c r="D47" s="32" t="s">
        <v>2337</v>
      </c>
      <c r="E47" s="177">
        <v>313861</v>
      </c>
      <c r="F47" s="178">
        <v>-4.02E-2</v>
      </c>
      <c r="G47" s="177">
        <v>425643</v>
      </c>
      <c r="H47" s="178">
        <v>-0.2626</v>
      </c>
      <c r="I47" s="177">
        <v>939739</v>
      </c>
      <c r="J47" s="178">
        <v>-0.27</v>
      </c>
      <c r="K47" s="32"/>
      <c r="L47" s="32"/>
      <c r="M47" s="32"/>
      <c r="N47" s="32"/>
      <c r="O47" s="32"/>
      <c r="P47" s="32"/>
      <c r="Q47" s="32"/>
      <c r="R47" s="32"/>
      <c r="S47" s="32"/>
    </row>
    <row r="48" spans="1:19">
      <c r="A48" s="31">
        <v>1325</v>
      </c>
      <c r="C48" s="32"/>
      <c r="D48" s="32" t="s">
        <v>2338</v>
      </c>
      <c r="E48" s="177">
        <v>327002</v>
      </c>
      <c r="F48" s="178">
        <v>9.4100000000000003E-2</v>
      </c>
      <c r="G48" s="177">
        <v>425615</v>
      </c>
      <c r="H48" s="178">
        <v>-0.23169999999999999</v>
      </c>
      <c r="I48" s="177">
        <v>625878</v>
      </c>
      <c r="J48" s="178">
        <v>-0.27360000000000001</v>
      </c>
      <c r="K48" s="32"/>
      <c r="L48" s="32"/>
      <c r="M48" s="32"/>
      <c r="N48" s="32"/>
      <c r="O48" s="32"/>
      <c r="P48" s="32"/>
      <c r="Q48" s="32"/>
      <c r="R48" s="32"/>
      <c r="S48" s="32"/>
    </row>
    <row r="49" spans="1:19">
      <c r="A49" s="31">
        <v>1326</v>
      </c>
      <c r="C49" s="32"/>
      <c r="D49" s="32" t="s">
        <v>2339</v>
      </c>
      <c r="E49" s="177">
        <v>298876</v>
      </c>
      <c r="F49" s="178">
        <v>-0.1018</v>
      </c>
      <c r="G49" s="177">
        <v>435999</v>
      </c>
      <c r="H49" s="178">
        <v>-0.3145</v>
      </c>
      <c r="I49" s="177">
        <v>298876</v>
      </c>
      <c r="J49" s="178">
        <v>-0.3145</v>
      </c>
      <c r="K49" s="32"/>
      <c r="L49" s="32"/>
      <c r="M49" s="32"/>
      <c r="N49" s="32"/>
      <c r="O49" s="32"/>
      <c r="P49" s="32"/>
      <c r="Q49" s="32"/>
      <c r="R49" s="32"/>
      <c r="S49" s="32"/>
    </row>
    <row r="50" spans="1:19">
      <c r="A50" s="31">
        <v>1333</v>
      </c>
      <c r="C50" s="32"/>
      <c r="D50" s="32" t="s">
        <v>2340</v>
      </c>
      <c r="E50" s="177">
        <v>332739</v>
      </c>
      <c r="F50" s="178">
        <v>0.21160000000000001</v>
      </c>
      <c r="G50" s="32"/>
      <c r="H50" s="32"/>
      <c r="I50" s="177">
        <v>4286875</v>
      </c>
      <c r="J50" s="32"/>
      <c r="K50" s="32"/>
      <c r="L50" s="32"/>
      <c r="M50" s="32"/>
      <c r="N50" s="32"/>
      <c r="O50" s="32"/>
      <c r="P50" s="32"/>
      <c r="Q50" s="32"/>
      <c r="R50" s="32"/>
      <c r="S50" s="32"/>
    </row>
    <row r="51" spans="1:19">
      <c r="A51" s="31">
        <v>1336</v>
      </c>
      <c r="C51" s="32"/>
      <c r="D51" s="32" t="s">
        <v>2341</v>
      </c>
      <c r="E51" s="177">
        <v>274638</v>
      </c>
      <c r="F51" s="178">
        <v>-0.18029999999999999</v>
      </c>
      <c r="G51" s="32"/>
      <c r="H51" s="32"/>
      <c r="I51" s="177">
        <v>3954136</v>
      </c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9">
      <c r="A52" s="31">
        <v>1337</v>
      </c>
      <c r="C52" s="32"/>
      <c r="D52" s="32" t="s">
        <v>2342</v>
      </c>
      <c r="E52" s="177">
        <v>335061</v>
      </c>
      <c r="F52" s="178">
        <v>-6.6799999999999998E-2</v>
      </c>
      <c r="G52" s="32"/>
      <c r="H52" s="32"/>
      <c r="I52" s="177">
        <v>3679498</v>
      </c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9">
      <c r="A53" s="31">
        <v>1338</v>
      </c>
      <c r="C53" s="32"/>
      <c r="D53" s="32" t="s">
        <v>2343</v>
      </c>
      <c r="E53" s="177">
        <v>359055</v>
      </c>
      <c r="F53" s="178">
        <v>0.22289999999999999</v>
      </c>
      <c r="G53" s="32"/>
      <c r="H53" s="32"/>
      <c r="I53" s="177">
        <v>3344437</v>
      </c>
      <c r="J53" s="32"/>
      <c r="K53" s="32"/>
      <c r="L53" s="32"/>
      <c r="M53" s="32"/>
      <c r="N53" s="32"/>
      <c r="O53" s="32"/>
      <c r="P53" s="32"/>
      <c r="Q53" s="32"/>
      <c r="R53" s="32"/>
      <c r="S53" s="32"/>
    </row>
    <row r="54" spans="1:19">
      <c r="A54" s="31">
        <v>1339</v>
      </c>
      <c r="C54" s="32"/>
      <c r="D54" s="32" t="s">
        <v>2344</v>
      </c>
      <c r="E54" s="177">
        <v>293609</v>
      </c>
      <c r="F54" s="178">
        <v>-0.18160000000000001</v>
      </c>
      <c r="G54" s="32"/>
      <c r="H54" s="32"/>
      <c r="I54" s="177">
        <v>2985382</v>
      </c>
      <c r="J54" s="32"/>
      <c r="K54" s="32"/>
      <c r="L54" s="32"/>
      <c r="M54" s="32"/>
      <c r="N54" s="32"/>
      <c r="O54" s="32"/>
      <c r="P54" s="32"/>
      <c r="Q54" s="32"/>
      <c r="R54" s="32"/>
      <c r="S54" s="32"/>
    </row>
    <row r="55" spans="1:19">
      <c r="A55" s="31">
        <v>1340</v>
      </c>
      <c r="C55" s="32"/>
      <c r="D55" s="32" t="s">
        <v>2345</v>
      </c>
      <c r="E55" s="177">
        <v>358743</v>
      </c>
      <c r="F55" s="178">
        <v>0.38490000000000002</v>
      </c>
      <c r="G55" s="32"/>
      <c r="H55" s="32"/>
      <c r="I55" s="177">
        <v>2691773</v>
      </c>
      <c r="J55" s="32"/>
      <c r="K55" s="32"/>
      <c r="L55" s="32"/>
      <c r="M55" s="32"/>
      <c r="N55" s="32"/>
      <c r="O55" s="32"/>
      <c r="P55" s="32"/>
      <c r="Q55" s="32"/>
      <c r="R55" s="32"/>
      <c r="S55" s="32"/>
    </row>
    <row r="56" spans="1:19">
      <c r="A56" s="31">
        <v>1402</v>
      </c>
      <c r="C56" s="32"/>
      <c r="D56" s="32" t="s">
        <v>2346</v>
      </c>
      <c r="E56" s="177">
        <v>259044</v>
      </c>
      <c r="F56" s="178">
        <v>-0.2492</v>
      </c>
      <c r="G56" s="32"/>
      <c r="H56" s="32"/>
      <c r="I56" s="177">
        <v>2333030</v>
      </c>
      <c r="J56" s="32"/>
      <c r="K56" s="32"/>
      <c r="L56" s="32"/>
      <c r="M56" s="32"/>
      <c r="N56" s="32"/>
      <c r="O56" s="32"/>
      <c r="P56" s="32"/>
      <c r="Q56" s="32"/>
      <c r="R56" s="32"/>
      <c r="S56" s="32"/>
    </row>
    <row r="57" spans="1:19">
      <c r="A57" s="31">
        <v>1409</v>
      </c>
      <c r="C57" s="32"/>
      <c r="D57" s="32" t="s">
        <v>2347</v>
      </c>
      <c r="E57" s="177">
        <v>345008</v>
      </c>
      <c r="F57" s="178">
        <v>-0.21890000000000001</v>
      </c>
      <c r="G57" s="32"/>
      <c r="H57" s="32"/>
      <c r="I57" s="177">
        <v>2073986</v>
      </c>
      <c r="J57" s="32"/>
      <c r="K57" s="32"/>
      <c r="L57" s="32"/>
      <c r="M57" s="32"/>
      <c r="N57" s="32"/>
      <c r="O57" s="32"/>
      <c r="P57" s="32"/>
      <c r="Q57" s="32"/>
      <c r="R57" s="32"/>
      <c r="S57" s="32"/>
    </row>
    <row r="58" spans="1:19">
      <c r="A58" s="31">
        <v>1410</v>
      </c>
      <c r="C58" s="32"/>
      <c r="D58" s="32" t="s">
        <v>2348</v>
      </c>
      <c r="E58" s="177">
        <v>441721</v>
      </c>
      <c r="F58" s="178">
        <v>3.78E-2</v>
      </c>
      <c r="G58" s="32"/>
      <c r="H58" s="32"/>
      <c r="I58" s="177">
        <v>1728978</v>
      </c>
      <c r="J58" s="32"/>
      <c r="K58" s="32"/>
      <c r="L58" s="32"/>
      <c r="M58" s="32"/>
      <c r="N58" s="32"/>
      <c r="O58" s="32"/>
      <c r="P58" s="32"/>
      <c r="Q58" s="32"/>
      <c r="R58" s="32"/>
      <c r="S58" s="32"/>
    </row>
    <row r="59" spans="1:19">
      <c r="A59" s="31">
        <v>1413</v>
      </c>
      <c r="C59" s="32"/>
      <c r="D59" s="32" t="s">
        <v>2349</v>
      </c>
      <c r="E59" s="177">
        <v>425643</v>
      </c>
      <c r="F59" s="178">
        <v>1E-4</v>
      </c>
      <c r="G59" s="32"/>
      <c r="H59" s="32"/>
      <c r="I59" s="177">
        <v>1287257</v>
      </c>
      <c r="J59" s="32"/>
      <c r="K59" s="32"/>
      <c r="L59" s="32"/>
      <c r="M59" s="32"/>
      <c r="N59" s="32"/>
      <c r="O59" s="32"/>
      <c r="P59" s="32"/>
      <c r="Q59" s="32"/>
      <c r="R59" s="32"/>
      <c r="S59" s="32"/>
    </row>
    <row r="60" spans="1:19">
      <c r="A60" s="31">
        <v>1414</v>
      </c>
      <c r="C60" s="32"/>
      <c r="D60" s="32" t="s">
        <v>2350</v>
      </c>
      <c r="E60" s="177">
        <v>425615</v>
      </c>
      <c r="F60" s="178">
        <v>-2.3800000000000002E-2</v>
      </c>
      <c r="G60" s="32"/>
      <c r="H60" s="32"/>
      <c r="I60" s="177">
        <v>861614</v>
      </c>
      <c r="J60" s="32"/>
      <c r="K60" s="32"/>
      <c r="L60" s="32"/>
      <c r="M60" s="32"/>
      <c r="N60" s="32"/>
      <c r="O60" s="32"/>
      <c r="P60" s="32"/>
      <c r="Q60" s="32"/>
      <c r="R60" s="32"/>
      <c r="S60" s="32"/>
    </row>
    <row r="61" spans="1:19">
      <c r="A61" s="31">
        <v>1416</v>
      </c>
      <c r="C61" s="32"/>
      <c r="D61" s="32" t="s">
        <v>2351</v>
      </c>
      <c r="E61" s="177">
        <v>435999</v>
      </c>
      <c r="F61" s="32"/>
      <c r="G61" s="32"/>
      <c r="H61" s="32"/>
      <c r="I61" s="177">
        <v>435999</v>
      </c>
      <c r="J61" s="32"/>
      <c r="K61" s="32"/>
      <c r="L61" s="32"/>
      <c r="M61" s="32"/>
      <c r="N61" s="32"/>
      <c r="O61" s="32"/>
      <c r="P61" s="32"/>
      <c r="Q61" s="32"/>
      <c r="R61" s="32"/>
      <c r="S61" s="32"/>
    </row>
    <row r="62" spans="1:19">
      <c r="A62" s="31">
        <v>1417</v>
      </c>
      <c r="C62" s="32"/>
      <c r="D62" s="32" t="s">
        <v>2352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</row>
    <row r="63" spans="1:19">
      <c r="A63" s="31">
        <v>1418</v>
      </c>
      <c r="C63" s="32"/>
      <c r="D63" s="32" t="s">
        <v>2353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</row>
    <row r="64" spans="1:19">
      <c r="A64" s="31">
        <v>1419</v>
      </c>
      <c r="C64" s="32"/>
      <c r="D64" s="32" t="s">
        <v>2354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</row>
    <row r="65" spans="1:19">
      <c r="A65" s="31">
        <v>1423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</row>
    <row r="66" spans="1:19">
      <c r="A66" s="31">
        <v>1432</v>
      </c>
    </row>
    <row r="67" spans="1:19">
      <c r="A67" s="31">
        <v>1434</v>
      </c>
    </row>
    <row r="68" spans="1:19">
      <c r="A68" s="31">
        <v>1435</v>
      </c>
    </row>
    <row r="69" spans="1:19">
      <c r="A69" s="31">
        <v>1436</v>
      </c>
    </row>
    <row r="70" spans="1:19">
      <c r="A70" s="31">
        <v>1437</v>
      </c>
    </row>
    <row r="71" spans="1:19">
      <c r="A71" s="31">
        <v>1438</v>
      </c>
    </row>
    <row r="72" spans="1:19">
      <c r="A72" s="31">
        <v>1439</v>
      </c>
    </row>
    <row r="73" spans="1:19">
      <c r="A73" s="31">
        <v>1440</v>
      </c>
    </row>
    <row r="74" spans="1:19">
      <c r="A74" s="31">
        <v>1441</v>
      </c>
    </row>
    <row r="75" spans="1:19">
      <c r="A75" s="31">
        <v>1442</v>
      </c>
    </row>
    <row r="76" spans="1:19">
      <c r="A76" s="31">
        <v>1443</v>
      </c>
    </row>
    <row r="77" spans="1:19">
      <c r="A77" s="31">
        <v>1444</v>
      </c>
    </row>
    <row r="78" spans="1:19">
      <c r="A78" s="31">
        <v>1445</v>
      </c>
    </row>
    <row r="79" spans="1:19">
      <c r="A79" s="31">
        <v>1446</v>
      </c>
    </row>
    <row r="80" spans="1:19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 display="1339"/>
    <hyperlink ref="B3" r:id="rId8" display="1432"/>
    <hyperlink ref="B4" r:id="rId9" display="1464"/>
    <hyperlink ref="B5" r:id="rId10" display="1566"/>
    <hyperlink ref="B6" r:id="rId11" display="1762"/>
    <hyperlink ref="B7" r:id="rId12" display="2221"/>
    <hyperlink ref="B8" r:id="rId13" display="2313"/>
    <hyperlink ref="B9" r:id="rId14" display="2373"/>
    <hyperlink ref="B10" r:id="rId15" display="2392"/>
    <hyperlink ref="B11" r:id="rId16" display="2406"/>
    <hyperlink ref="B12" r:id="rId17" display="2433"/>
    <hyperlink ref="B13" r:id="rId18" display="2488"/>
    <hyperlink ref="B14" r:id="rId19" display="2509"/>
    <hyperlink ref="B15" r:id="rId20" display="2637"/>
    <hyperlink ref="B16" r:id="rId21" display="3046"/>
    <hyperlink ref="B17" r:id="rId22" display="3152"/>
    <hyperlink ref="B18" r:id="rId23" display="3169"/>
    <hyperlink ref="B19" r:id="rId24" display="3205"/>
    <hyperlink ref="B20" r:id="rId25" display="3234"/>
    <hyperlink ref="B21" r:id="rId26" display="3294"/>
    <hyperlink ref="B22" r:id="rId27" display="3499"/>
    <hyperlink ref="B23" r:id="rId28" display="3512"/>
    <hyperlink ref="B24" r:id="rId29" display="3552"/>
    <hyperlink ref="B25" r:id="rId30" display="3691"/>
    <hyperlink ref="B26" r:id="rId31" display="3707"/>
    <hyperlink ref="B27" r:id="rId32" display="4137"/>
    <hyperlink ref="B28" r:id="rId33" display="4180"/>
    <hyperlink ref="B29" r:id="rId34" display="4415"/>
    <hyperlink ref="B30" r:id="rId35" display="4420"/>
    <hyperlink ref="B31" r:id="rId36" display="4502"/>
    <hyperlink ref="B32" r:id="rId37" display="4915"/>
    <hyperlink ref="B33" r:id="rId38" display="4938"/>
    <hyperlink ref="B34" r:id="rId39" display="4965"/>
    <hyperlink ref="B35" r:id="rId40" display="5206"/>
    <hyperlink ref="B36" r:id="rId41" display="5225"/>
    <hyperlink ref="B37" r:id="rId42" display="5392"/>
    <hyperlink ref="B38" r:id="rId43" display="6103"/>
    <hyperlink ref="B39" r:id="rId44" display="6184"/>
    <hyperlink ref="B40" r:id="rId45" display="6227"/>
    <hyperlink ref="B41" r:id="rId46" display="6233"/>
    <hyperlink ref="B42" r:id="rId47" display="6235"/>
    <hyperlink ref="B43" r:id="rId48" display="8077"/>
    <hyperlink ref="B44" r:id="rId49" display="8096"/>
    <hyperlink ref="B45" r:id="rId50" display="8422"/>
  </hyperlinks>
  <pageMargins left="0.7" right="0.7" top="0.75" bottom="0.75" header="0.3" footer="0.3"/>
  <pageSetup paperSize="9" orientation="portrait" r:id="rId51"/>
  <legacyDrawing r:id="rId52"/>
  <controls>
    <control shapeId="4113" r:id="rId53" name="CommandButton17"/>
    <control shapeId="4112" r:id="rId54" name="CommandButton16"/>
    <control shapeId="4111" r:id="rId55" name="CommandButton15"/>
    <control shapeId="4110" r:id="rId56" name="CommandButton14"/>
    <control shapeId="4109" r:id="rId57" name="CommandButton1"/>
    <control shapeId="4108" r:id="rId58" name="CommandButton13"/>
    <control shapeId="4107" r:id="rId59" name="CommandButton12"/>
    <control shapeId="4106" r:id="rId60" name="CommandButton11"/>
    <control shapeId="4105" r:id="rId61" name="CommandButton10"/>
    <control shapeId="4099" r:id="rId62" name="CommandButton4"/>
    <control shapeId="4098" r:id="rId63" name="CommandButton3"/>
    <control shapeId="4097" r:id="rId64" name="Command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J68" sqref="J6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2363</v>
      </c>
      <c r="D1" s="33"/>
      <c r="E1" s="34" t="s">
        <v>2364</v>
      </c>
      <c r="F1" s="33"/>
      <c r="G1" s="34" t="s">
        <v>2365</v>
      </c>
      <c r="R1" s="361" t="s">
        <v>1869</v>
      </c>
      <c r="S1" s="362"/>
      <c r="T1" s="362"/>
      <c r="U1" s="362"/>
      <c r="V1" s="363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60" t="s">
        <v>204</v>
      </c>
      <c r="C3" s="360"/>
      <c r="D3" s="360"/>
      <c r="E3" s="360"/>
      <c r="F3" s="360"/>
      <c r="G3" s="360"/>
      <c r="H3" s="360"/>
      <c r="I3" s="43"/>
      <c r="J3" s="360" t="s">
        <v>205</v>
      </c>
      <c r="K3" s="360"/>
      <c r="L3" s="360"/>
      <c r="M3" s="360"/>
      <c r="N3" s="360"/>
      <c r="O3" s="360"/>
      <c r="P3" s="360"/>
      <c r="R3" s="366" t="s">
        <v>1874</v>
      </c>
      <c r="S3" s="337"/>
      <c r="T3" s="112" t="s">
        <v>1875</v>
      </c>
      <c r="U3" s="112" t="s">
        <v>1877</v>
      </c>
      <c r="V3" s="112" t="s">
        <v>1876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6">
        <f>IF(C1&lt;&gt;"",PK!A2," ")</f>
        <v>2455</v>
      </c>
      <c r="S4" s="107" t="str">
        <f>LEFT(C1,2)</f>
        <v>全新</v>
      </c>
      <c r="T4" s="113">
        <f>ROUND(PK!L11,2)</f>
        <v>2.63</v>
      </c>
      <c r="U4" s="114">
        <f>VLOOKUP(R4,收盤價!A:C,3,0)</f>
        <v>37.75</v>
      </c>
      <c r="V4" s="115">
        <f>ROUND(U4/T4,2)</f>
        <v>14.35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8">
        <f>IF(E1&lt;&gt;"",PK!A3,"")</f>
        <v>8086</v>
      </c>
      <c r="S5" s="109" t="str">
        <f>LEFT(E1,2)</f>
        <v>宏捷</v>
      </c>
      <c r="T5" s="113">
        <f>ROUND(PK!L12,2)</f>
        <v>10.27</v>
      </c>
      <c r="U5" s="114">
        <f>VLOOKUP(R5,收盤價!A:C,3,0)</f>
        <v>84.1</v>
      </c>
      <c r="V5" s="115">
        <f>ROUND(U5/T5,2)</f>
        <v>8.19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10">
        <f>PK!A4</f>
        <v>3105</v>
      </c>
      <c r="S6" s="111" t="str">
        <f>LEFT(G1,2)</f>
        <v>穩懋</v>
      </c>
      <c r="T6" s="113">
        <f>ROUND(PK!L13,2)</f>
        <v>3.8</v>
      </c>
      <c r="U6" s="114">
        <f>VLOOKUP(R6,收盤價!A:C,3,0)</f>
        <v>49.5</v>
      </c>
      <c r="V6" s="115">
        <f>ROUND(U6/T6,0)</f>
        <v>13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9"/>
      <c r="S7" s="364"/>
      <c r="T7" s="364"/>
      <c r="U7" s="364"/>
      <c r="V7" s="365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9"/>
      <c r="S8" s="80"/>
      <c r="T8" s="80"/>
      <c r="U8" s="80"/>
      <c r="V8" s="81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9"/>
      <c r="S9" s="80"/>
      <c r="T9" s="80"/>
      <c r="U9" s="80"/>
      <c r="V9" s="81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9"/>
      <c r="S10" s="80"/>
      <c r="T10" s="80"/>
      <c r="U10" s="80"/>
      <c r="V10" s="81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9"/>
      <c r="S11" s="80"/>
      <c r="T11" s="80"/>
      <c r="U11" s="80"/>
      <c r="V11" s="81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82"/>
      <c r="S12" s="83"/>
      <c r="T12" s="83"/>
      <c r="U12" s="83"/>
      <c r="V12" s="84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60" t="s">
        <v>1871</v>
      </c>
      <c r="C14" s="360"/>
      <c r="D14" s="360"/>
      <c r="E14" s="360"/>
      <c r="F14" s="360"/>
      <c r="G14" s="360"/>
      <c r="H14" s="360"/>
      <c r="I14" s="43"/>
      <c r="J14" s="360" t="s">
        <v>206</v>
      </c>
      <c r="K14" s="360"/>
      <c r="L14" s="360"/>
      <c r="M14" s="360"/>
      <c r="N14" s="360"/>
      <c r="O14" s="360"/>
      <c r="P14" s="360"/>
      <c r="R14" s="85"/>
      <c r="S14" s="86"/>
      <c r="T14" s="86"/>
      <c r="U14" s="86"/>
      <c r="V14" s="87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9"/>
      <c r="S15" s="80"/>
      <c r="T15" s="80"/>
      <c r="U15" s="80"/>
      <c r="V15" s="81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9"/>
      <c r="S16" s="80"/>
      <c r="T16" s="80"/>
      <c r="U16" s="80"/>
      <c r="V16" s="81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9"/>
      <c r="S17" s="80"/>
      <c r="T17" s="80"/>
      <c r="U17" s="80"/>
      <c r="V17" s="81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9"/>
      <c r="S18" s="80"/>
      <c r="T18" s="80"/>
      <c r="U18" s="80"/>
      <c r="V18" s="81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9"/>
      <c r="S19" s="80"/>
      <c r="T19" s="80"/>
      <c r="U19" s="80"/>
      <c r="V19" s="81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9"/>
      <c r="S20" s="80"/>
      <c r="T20" s="80"/>
      <c r="U20" s="80"/>
      <c r="V20" s="81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9"/>
      <c r="S21" s="80"/>
      <c r="T21" s="80"/>
      <c r="U21" s="80"/>
      <c r="V21" s="81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9"/>
      <c r="S22" s="80"/>
      <c r="T22" s="80"/>
      <c r="U22" s="80"/>
      <c r="V22" s="81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9"/>
      <c r="S23" s="80"/>
      <c r="T23" s="80"/>
      <c r="U23" s="80"/>
      <c r="V23" s="81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9"/>
      <c r="S24" s="80"/>
      <c r="T24" s="80"/>
      <c r="U24" s="80"/>
      <c r="V24" s="81"/>
    </row>
    <row r="25" spans="1:22" ht="19.5">
      <c r="A25" s="43"/>
      <c r="B25" s="360" t="s">
        <v>1870</v>
      </c>
      <c r="C25" s="360"/>
      <c r="D25" s="360"/>
      <c r="E25" s="360"/>
      <c r="F25" s="360"/>
      <c r="G25" s="360"/>
      <c r="H25" s="360"/>
      <c r="I25" s="43"/>
      <c r="J25" s="360" t="s">
        <v>1873</v>
      </c>
      <c r="K25" s="360"/>
      <c r="L25" s="360"/>
      <c r="M25" s="360"/>
      <c r="N25" s="360"/>
      <c r="O25" s="360"/>
      <c r="P25" s="360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8"/>
      <c r="T26" s="41"/>
      <c r="U26" s="88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6"/>
      <c r="S35" s="77"/>
      <c r="T35" s="77"/>
      <c r="U35" s="77"/>
      <c r="V35" s="78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8" r:id="rId4" name="CommandButton7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 filterMode="1"/>
  <dimension ref="A1:K5531"/>
  <sheetViews>
    <sheetView zoomScale="80" zoomScaleNormal="80" workbookViewId="0">
      <pane xSplit="10" ySplit="1" topLeftCell="L435" activePane="bottomRight" state="frozen"/>
      <selection pane="topRight" activeCell="K1" sqref="K1"/>
      <selection pane="bottomLeft" activeCell="A2" sqref="A2"/>
      <selection pane="bottomRight" activeCell="A579" sqref="A579"/>
    </sheetView>
  </sheetViews>
  <sheetFormatPr defaultColWidth="9" defaultRowHeight="16.5"/>
  <cols>
    <col min="1" max="1" width="12.625" style="27" customWidth="1"/>
    <col min="2" max="2" width="10.5" style="27" bestFit="1" customWidth="1"/>
    <col min="3" max="10" width="15.375" style="27" customWidth="1"/>
    <col min="11" max="11" width="38.375" style="243" customWidth="1"/>
    <col min="12" max="16384" width="9" style="27"/>
  </cols>
  <sheetData>
    <row r="1" spans="1:11" s="20" customFormat="1" ht="48" customHeight="1">
      <c r="A1" s="47" t="s">
        <v>1930</v>
      </c>
      <c r="B1" s="48" t="s">
        <v>2355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41"/>
    </row>
    <row r="2" spans="1:11" customFormat="1" hidden="1">
      <c r="A2">
        <v>9962</v>
      </c>
      <c r="B2" t="s">
        <v>1966</v>
      </c>
      <c r="C2" s="46">
        <v>119179</v>
      </c>
      <c r="D2" s="46">
        <v>128660</v>
      </c>
      <c r="E2" s="46">
        <v>241161</v>
      </c>
      <c r="F2">
        <v>-7.36</v>
      </c>
      <c r="G2">
        <v>-50.58</v>
      </c>
      <c r="H2" s="46">
        <v>1703029</v>
      </c>
      <c r="I2" s="46">
        <v>2338179</v>
      </c>
      <c r="J2">
        <v>-27.16</v>
      </c>
      <c r="K2">
        <v>0</v>
      </c>
    </row>
    <row r="3" spans="1:11" customFormat="1" hidden="1">
      <c r="A3">
        <v>9960</v>
      </c>
      <c r="B3" t="s">
        <v>537</v>
      </c>
      <c r="C3" s="46">
        <v>39898</v>
      </c>
      <c r="D3" s="46">
        <v>36845</v>
      </c>
      <c r="E3" s="46">
        <v>58777</v>
      </c>
      <c r="F3">
        <v>8.2799999999999994</v>
      </c>
      <c r="G3">
        <v>-32.11</v>
      </c>
      <c r="H3" s="46">
        <v>439188</v>
      </c>
      <c r="I3" s="46">
        <v>517065</v>
      </c>
      <c r="J3">
        <v>-15.06</v>
      </c>
      <c r="K3">
        <v>0</v>
      </c>
    </row>
    <row r="4" spans="1:11" customFormat="1" hidden="1">
      <c r="A4">
        <v>9951</v>
      </c>
      <c r="B4" t="s">
        <v>1942</v>
      </c>
      <c r="C4" s="46">
        <v>333945</v>
      </c>
      <c r="D4" s="46">
        <v>347401</v>
      </c>
      <c r="E4" s="46">
        <v>273727</v>
      </c>
      <c r="F4">
        <v>-3.87</v>
      </c>
      <c r="G4">
        <v>21.99</v>
      </c>
      <c r="H4" s="46">
        <v>3043640</v>
      </c>
      <c r="I4" s="46">
        <v>2553117</v>
      </c>
      <c r="J4">
        <v>19.21</v>
      </c>
      <c r="K4" s="242">
        <v>1</v>
      </c>
    </row>
    <row r="5" spans="1:11" customFormat="1" hidden="1">
      <c r="A5">
        <v>9950</v>
      </c>
      <c r="B5" t="s">
        <v>2115</v>
      </c>
      <c r="C5" s="46">
        <v>274028</v>
      </c>
      <c r="D5" s="46">
        <v>355463</v>
      </c>
      <c r="E5" s="46">
        <v>278673</v>
      </c>
      <c r="F5">
        <v>-22.9</v>
      </c>
      <c r="G5">
        <v>-1.66</v>
      </c>
      <c r="H5" s="46">
        <v>2827566</v>
      </c>
      <c r="I5" s="46">
        <v>2949165</v>
      </c>
      <c r="J5">
        <v>-4.12</v>
      </c>
      <c r="K5">
        <v>0</v>
      </c>
    </row>
    <row r="6" spans="1:11" customFormat="1" hidden="1">
      <c r="A6">
        <v>9949</v>
      </c>
      <c r="B6" t="s">
        <v>536</v>
      </c>
      <c r="C6" s="46">
        <v>35712</v>
      </c>
      <c r="D6" s="46">
        <v>30307</v>
      </c>
      <c r="E6" s="46">
        <v>41082</v>
      </c>
      <c r="F6">
        <v>17.829999999999998</v>
      </c>
      <c r="G6">
        <v>-13.07</v>
      </c>
      <c r="H6" s="46">
        <v>322615</v>
      </c>
      <c r="I6" s="46">
        <v>398549</v>
      </c>
      <c r="J6">
        <v>-19.05</v>
      </c>
      <c r="K6">
        <v>1</v>
      </c>
    </row>
    <row r="7" spans="1:11" customFormat="1" hidden="1">
      <c r="A7">
        <v>8942</v>
      </c>
      <c r="B7" t="s">
        <v>1849</v>
      </c>
      <c r="C7" s="46">
        <v>366423</v>
      </c>
      <c r="D7" s="46">
        <v>320812</v>
      </c>
      <c r="E7" s="46">
        <v>260608</v>
      </c>
      <c r="F7">
        <v>14.21</v>
      </c>
      <c r="G7">
        <v>40.6</v>
      </c>
      <c r="H7" s="46">
        <v>4094691</v>
      </c>
      <c r="I7" s="46">
        <v>2909092</v>
      </c>
      <c r="J7">
        <v>40.75</v>
      </c>
      <c r="K7" s="242">
        <v>0</v>
      </c>
    </row>
    <row r="8" spans="1:11" customFormat="1" hidden="1">
      <c r="A8">
        <v>8941</v>
      </c>
      <c r="B8" t="s">
        <v>535</v>
      </c>
      <c r="C8" s="46">
        <v>191024</v>
      </c>
      <c r="D8" s="46">
        <v>187608</v>
      </c>
      <c r="E8" s="46">
        <v>193120</v>
      </c>
      <c r="F8">
        <v>1.82</v>
      </c>
      <c r="G8">
        <v>-1.08</v>
      </c>
      <c r="H8" s="46">
        <v>2118393</v>
      </c>
      <c r="I8" s="46">
        <v>2187339</v>
      </c>
      <c r="J8">
        <v>-3.15</v>
      </c>
      <c r="K8">
        <v>0</v>
      </c>
    </row>
    <row r="9" spans="1:11" customFormat="1" hidden="1">
      <c r="A9">
        <v>8938</v>
      </c>
      <c r="B9" t="s">
        <v>534</v>
      </c>
      <c r="C9" s="46">
        <v>813556</v>
      </c>
      <c r="D9" s="46">
        <v>725449</v>
      </c>
      <c r="E9" s="46">
        <v>860739</v>
      </c>
      <c r="F9">
        <v>12.14</v>
      </c>
      <c r="G9">
        <v>-5.48</v>
      </c>
      <c r="H9" s="46">
        <v>6935858</v>
      </c>
      <c r="I9" s="46">
        <v>7756729</v>
      </c>
      <c r="J9">
        <v>-10.58</v>
      </c>
      <c r="K9">
        <v>1</v>
      </c>
    </row>
    <row r="10" spans="1:11" customFormat="1" hidden="1">
      <c r="A10">
        <v>8937</v>
      </c>
      <c r="B10" t="s">
        <v>2093</v>
      </c>
      <c r="C10" s="46">
        <v>19636</v>
      </c>
      <c r="D10" s="46">
        <v>50909</v>
      </c>
      <c r="E10" s="46">
        <v>18110</v>
      </c>
      <c r="F10">
        <v>-61.42</v>
      </c>
      <c r="G10">
        <v>8.42</v>
      </c>
      <c r="H10" s="46">
        <v>362406</v>
      </c>
      <c r="I10" s="46">
        <v>412679</v>
      </c>
      <c r="J10">
        <v>-12.18</v>
      </c>
      <c r="K10" s="242">
        <v>0</v>
      </c>
    </row>
    <row r="11" spans="1:11" customFormat="1" hidden="1">
      <c r="A11">
        <v>8936</v>
      </c>
      <c r="B11" t="s">
        <v>2092</v>
      </c>
      <c r="C11" s="46">
        <v>252365</v>
      </c>
      <c r="D11" s="46">
        <v>311850</v>
      </c>
      <c r="E11" s="46">
        <v>369237</v>
      </c>
      <c r="F11">
        <v>-19.07</v>
      </c>
      <c r="G11">
        <v>-31.65</v>
      </c>
      <c r="H11" s="46">
        <v>3786333</v>
      </c>
      <c r="I11" s="46">
        <v>3150831</v>
      </c>
      <c r="J11">
        <v>20.16</v>
      </c>
      <c r="K11">
        <v>0</v>
      </c>
    </row>
    <row r="12" spans="1:11" customFormat="1" hidden="1">
      <c r="A12">
        <v>8935</v>
      </c>
      <c r="B12" t="s">
        <v>533</v>
      </c>
      <c r="C12" s="46">
        <v>52598</v>
      </c>
      <c r="D12" s="46">
        <v>74074</v>
      </c>
      <c r="E12" s="46">
        <v>69488</v>
      </c>
      <c r="F12">
        <v>-28.99</v>
      </c>
      <c r="G12">
        <v>-24.3</v>
      </c>
      <c r="H12" s="46">
        <v>614734</v>
      </c>
      <c r="I12" s="46">
        <v>598540</v>
      </c>
      <c r="J12">
        <v>2.7</v>
      </c>
      <c r="K12">
        <v>0</v>
      </c>
    </row>
    <row r="13" spans="1:11" customFormat="1" hidden="1">
      <c r="A13">
        <v>8934</v>
      </c>
      <c r="B13" t="s">
        <v>1846</v>
      </c>
      <c r="C13" s="46">
        <v>59238</v>
      </c>
      <c r="D13" s="46">
        <v>53100</v>
      </c>
      <c r="E13" s="46">
        <v>50542</v>
      </c>
      <c r="F13">
        <v>11.55</v>
      </c>
      <c r="G13">
        <v>17.2</v>
      </c>
      <c r="H13" s="46">
        <v>557440</v>
      </c>
      <c r="I13" s="46">
        <v>564616</v>
      </c>
      <c r="J13">
        <v>-1.27</v>
      </c>
      <c r="K13">
        <v>1</v>
      </c>
    </row>
    <row r="14" spans="1:11" customFormat="1" hidden="1">
      <c r="A14">
        <v>8933</v>
      </c>
      <c r="B14" t="s">
        <v>1845</v>
      </c>
      <c r="C14" s="46">
        <v>538213</v>
      </c>
      <c r="D14" s="46">
        <v>689105</v>
      </c>
      <c r="E14" s="46">
        <v>319707</v>
      </c>
      <c r="F14">
        <v>-21.89</v>
      </c>
      <c r="G14">
        <v>68.34</v>
      </c>
      <c r="H14" s="46">
        <v>4992111</v>
      </c>
      <c r="I14" s="46">
        <v>3212062</v>
      </c>
      <c r="J14">
        <v>55.41</v>
      </c>
      <c r="K14" s="242">
        <v>1</v>
      </c>
    </row>
    <row r="15" spans="1:11" customFormat="1" hidden="1">
      <c r="A15">
        <v>8932</v>
      </c>
      <c r="B15" t="s">
        <v>2249</v>
      </c>
      <c r="C15" s="46">
        <v>81338</v>
      </c>
      <c r="D15" s="46">
        <v>91346</v>
      </c>
      <c r="E15" s="46">
        <v>66998</v>
      </c>
      <c r="F15">
        <v>-10.95</v>
      </c>
      <c r="G15">
        <v>21.4</v>
      </c>
      <c r="H15" s="46">
        <v>1037958</v>
      </c>
      <c r="I15" s="46">
        <v>998036</v>
      </c>
      <c r="J15">
        <v>4</v>
      </c>
      <c r="K15">
        <v>0</v>
      </c>
    </row>
    <row r="16" spans="1:11" customFormat="1" hidden="1">
      <c r="A16">
        <v>8931</v>
      </c>
      <c r="B16" t="s">
        <v>2071</v>
      </c>
      <c r="C16" s="46">
        <v>106998</v>
      </c>
      <c r="D16" s="46">
        <v>112873</v>
      </c>
      <c r="E16" s="46">
        <v>117751</v>
      </c>
      <c r="F16">
        <v>-5.2</v>
      </c>
      <c r="G16">
        <v>-9.1300000000000008</v>
      </c>
      <c r="H16" s="46">
        <v>1124854</v>
      </c>
      <c r="I16" s="46">
        <v>1162369</v>
      </c>
      <c r="J16">
        <v>-3.22</v>
      </c>
      <c r="K16">
        <v>0</v>
      </c>
    </row>
    <row r="17" spans="1:11" customFormat="1" hidden="1">
      <c r="A17">
        <v>8930</v>
      </c>
      <c r="B17" t="s">
        <v>532</v>
      </c>
      <c r="C17" s="46">
        <v>79129</v>
      </c>
      <c r="D17" s="46">
        <v>85675</v>
      </c>
      <c r="E17" s="46">
        <v>109377</v>
      </c>
      <c r="F17">
        <v>-7.64</v>
      </c>
      <c r="G17">
        <v>-27.65</v>
      </c>
      <c r="H17" s="46">
        <v>911109</v>
      </c>
      <c r="I17" s="46">
        <v>1168945</v>
      </c>
      <c r="J17">
        <v>-22.05</v>
      </c>
      <c r="K17">
        <v>0</v>
      </c>
    </row>
    <row r="18" spans="1:11" customFormat="1" hidden="1">
      <c r="A18">
        <v>8929</v>
      </c>
      <c r="B18" t="s">
        <v>531</v>
      </c>
      <c r="C18" s="46">
        <v>113319</v>
      </c>
      <c r="D18" s="46">
        <v>110517</v>
      </c>
      <c r="E18" s="46">
        <v>88200</v>
      </c>
      <c r="F18">
        <v>2.5299999999999998</v>
      </c>
      <c r="G18">
        <v>28.47</v>
      </c>
      <c r="H18" s="46">
        <v>1098725</v>
      </c>
      <c r="I18" s="46">
        <v>1005598</v>
      </c>
      <c r="J18">
        <v>9.26</v>
      </c>
      <c r="K18">
        <v>0</v>
      </c>
    </row>
    <row r="19" spans="1:11" customFormat="1" hidden="1">
      <c r="A19">
        <v>8928</v>
      </c>
      <c r="B19" t="s">
        <v>530</v>
      </c>
      <c r="C19" s="46">
        <v>173456</v>
      </c>
      <c r="D19" s="46">
        <v>199498</v>
      </c>
      <c r="E19" s="46">
        <v>259477</v>
      </c>
      <c r="F19">
        <v>-13.05</v>
      </c>
      <c r="G19">
        <v>-33.15</v>
      </c>
      <c r="H19" s="46">
        <v>1540515</v>
      </c>
      <c r="I19" s="46">
        <v>1601560</v>
      </c>
      <c r="J19">
        <v>-3.81</v>
      </c>
      <c r="K19" s="242">
        <v>1</v>
      </c>
    </row>
    <row r="20" spans="1:11" customFormat="1" hidden="1">
      <c r="A20">
        <v>8927</v>
      </c>
      <c r="B20" t="s">
        <v>529</v>
      </c>
      <c r="C20" s="46">
        <v>309888</v>
      </c>
      <c r="D20" s="46">
        <v>303654</v>
      </c>
      <c r="E20" s="46">
        <v>306966</v>
      </c>
      <c r="F20">
        <v>2.0499999999999998</v>
      </c>
      <c r="G20">
        <v>0.95</v>
      </c>
      <c r="H20" s="46">
        <v>2796155</v>
      </c>
      <c r="I20" s="46">
        <v>3343843</v>
      </c>
      <c r="J20">
        <v>-16.37</v>
      </c>
      <c r="K20" s="242">
        <v>1</v>
      </c>
    </row>
    <row r="21" spans="1:11" customFormat="1" hidden="1">
      <c r="A21">
        <v>8925</v>
      </c>
      <c r="B21" t="s">
        <v>1842</v>
      </c>
      <c r="C21" s="46">
        <v>73172</v>
      </c>
      <c r="D21" s="46">
        <v>105701</v>
      </c>
      <c r="E21" s="46">
        <v>202089</v>
      </c>
      <c r="F21">
        <v>-30.77</v>
      </c>
      <c r="G21">
        <v>-63.79</v>
      </c>
      <c r="H21" s="46">
        <v>1039533</v>
      </c>
      <c r="I21" s="46">
        <v>1724751</v>
      </c>
      <c r="J21">
        <v>-39.72</v>
      </c>
      <c r="K21">
        <v>0</v>
      </c>
    </row>
    <row r="22" spans="1:11" customFormat="1" hidden="1">
      <c r="A22">
        <v>8924</v>
      </c>
      <c r="B22" t="s">
        <v>2091</v>
      </c>
      <c r="C22" s="46">
        <v>549968</v>
      </c>
      <c r="D22" s="46">
        <v>450665</v>
      </c>
      <c r="E22" s="46">
        <v>545727</v>
      </c>
      <c r="F22">
        <v>22.03</v>
      </c>
      <c r="G22">
        <v>0.77</v>
      </c>
      <c r="H22" s="46">
        <v>3447478</v>
      </c>
      <c r="I22" s="46">
        <v>3297365</v>
      </c>
      <c r="J22">
        <v>4.55</v>
      </c>
      <c r="K22" s="242">
        <v>1</v>
      </c>
    </row>
    <row r="23" spans="1:11" customFormat="1" hidden="1">
      <c r="A23">
        <v>8923</v>
      </c>
      <c r="B23" t="s">
        <v>2260</v>
      </c>
      <c r="C23" s="46">
        <v>37981</v>
      </c>
      <c r="D23" s="46">
        <v>28752</v>
      </c>
      <c r="E23" s="46">
        <v>37183</v>
      </c>
      <c r="F23">
        <v>32.090000000000003</v>
      </c>
      <c r="G23">
        <v>2.14</v>
      </c>
      <c r="H23" s="46">
        <v>333131</v>
      </c>
      <c r="I23" s="46">
        <v>291286</v>
      </c>
      <c r="J23">
        <v>14.36</v>
      </c>
      <c r="K23">
        <v>1</v>
      </c>
    </row>
    <row r="24" spans="1:11" customFormat="1" hidden="1">
      <c r="A24">
        <v>8921</v>
      </c>
      <c r="B24" t="s">
        <v>2090</v>
      </c>
      <c r="C24" s="46">
        <v>61517</v>
      </c>
      <c r="D24" s="46">
        <v>61349</v>
      </c>
      <c r="E24" s="46">
        <v>67845</v>
      </c>
      <c r="F24">
        <v>0.27</v>
      </c>
      <c r="G24">
        <v>-9.32</v>
      </c>
      <c r="H24" s="46">
        <v>594282</v>
      </c>
      <c r="I24" s="46">
        <v>583092</v>
      </c>
      <c r="J24">
        <v>1.91</v>
      </c>
      <c r="K24">
        <v>0</v>
      </c>
    </row>
    <row r="25" spans="1:11" customFormat="1" hidden="1">
      <c r="A25">
        <v>8917</v>
      </c>
      <c r="B25" t="s">
        <v>528</v>
      </c>
      <c r="C25" s="46">
        <v>121284</v>
      </c>
      <c r="D25" s="46">
        <v>101754</v>
      </c>
      <c r="E25" s="46">
        <v>167101</v>
      </c>
      <c r="F25">
        <v>19.190000000000001</v>
      </c>
      <c r="G25" s="233">
        <v>-27.41</v>
      </c>
      <c r="H25" s="46">
        <v>1337487</v>
      </c>
      <c r="I25" s="46">
        <v>1682663</v>
      </c>
      <c r="J25">
        <v>-20.51</v>
      </c>
      <c r="K25">
        <v>0</v>
      </c>
    </row>
    <row r="26" spans="1:11" customFormat="1" hidden="1">
      <c r="A26">
        <v>8916</v>
      </c>
      <c r="B26" t="s">
        <v>527</v>
      </c>
      <c r="C26" s="46">
        <v>818950</v>
      </c>
      <c r="D26" s="46">
        <v>994831</v>
      </c>
      <c r="E26" s="46">
        <v>767711</v>
      </c>
      <c r="F26">
        <v>-17.670000000000002</v>
      </c>
      <c r="G26">
        <v>6.67</v>
      </c>
      <c r="H26" s="46">
        <v>7740401</v>
      </c>
      <c r="I26" s="46">
        <v>8056413</v>
      </c>
      <c r="J26">
        <v>-3.92</v>
      </c>
      <c r="K26" s="242">
        <v>1</v>
      </c>
    </row>
    <row r="27" spans="1:11" customFormat="1" hidden="1">
      <c r="A27">
        <v>8913</v>
      </c>
      <c r="B27" t="s">
        <v>526</v>
      </c>
      <c r="C27" s="46">
        <v>6315</v>
      </c>
      <c r="D27" s="46">
        <v>6025</v>
      </c>
      <c r="E27" s="46">
        <v>5461</v>
      </c>
      <c r="F27">
        <v>4.8099999999999996</v>
      </c>
      <c r="G27">
        <v>15.63</v>
      </c>
      <c r="H27" s="46">
        <v>59004</v>
      </c>
      <c r="I27" s="46">
        <v>54214</v>
      </c>
      <c r="J27">
        <v>8.83</v>
      </c>
      <c r="K27">
        <v>1</v>
      </c>
    </row>
    <row r="28" spans="1:11" customFormat="1" hidden="1">
      <c r="A28">
        <v>8908</v>
      </c>
      <c r="B28" t="s">
        <v>525</v>
      </c>
      <c r="C28" s="46">
        <v>436917</v>
      </c>
      <c r="D28" s="46">
        <v>427390</v>
      </c>
      <c r="E28" s="46">
        <v>456892</v>
      </c>
      <c r="F28">
        <v>2.2200000000000002</v>
      </c>
      <c r="G28">
        <v>-4.37</v>
      </c>
      <c r="H28" s="46">
        <v>4405554</v>
      </c>
      <c r="I28" s="46">
        <v>4971382</v>
      </c>
      <c r="J28">
        <v>-11.38</v>
      </c>
      <c r="K28">
        <v>0</v>
      </c>
    </row>
    <row r="29" spans="1:11" customFormat="1" hidden="1">
      <c r="A29">
        <v>8906</v>
      </c>
      <c r="B29" t="s">
        <v>2248</v>
      </c>
      <c r="C29" s="46">
        <v>20397</v>
      </c>
      <c r="D29" s="46">
        <v>24003</v>
      </c>
      <c r="E29" s="46">
        <v>13506</v>
      </c>
      <c r="F29">
        <v>-15.02</v>
      </c>
      <c r="G29">
        <v>51.02</v>
      </c>
      <c r="H29" s="46">
        <v>165982</v>
      </c>
      <c r="I29" s="46">
        <v>148643</v>
      </c>
      <c r="J29">
        <v>11.66</v>
      </c>
      <c r="K29" s="242">
        <v>1</v>
      </c>
    </row>
    <row r="30" spans="1:11" customFormat="1" hidden="1">
      <c r="A30">
        <v>8905</v>
      </c>
      <c r="B30" t="s">
        <v>2247</v>
      </c>
      <c r="C30" s="46">
        <v>144081</v>
      </c>
      <c r="D30" s="46">
        <v>196051</v>
      </c>
      <c r="E30" s="46">
        <v>481188</v>
      </c>
      <c r="F30">
        <v>-26.5</v>
      </c>
      <c r="G30">
        <v>-70.05</v>
      </c>
      <c r="H30" s="46">
        <v>1675025</v>
      </c>
      <c r="I30" s="46">
        <v>3129157</v>
      </c>
      <c r="J30">
        <v>-46.47</v>
      </c>
      <c r="K30" s="242">
        <v>0</v>
      </c>
    </row>
    <row r="31" spans="1:11" customFormat="1" hidden="1">
      <c r="A31">
        <v>8450</v>
      </c>
      <c r="B31" t="s">
        <v>524</v>
      </c>
      <c r="C31" s="46">
        <v>51128</v>
      </c>
      <c r="D31" s="46">
        <v>54172</v>
      </c>
      <c r="E31" s="46">
        <v>47768</v>
      </c>
      <c r="F31">
        <v>-5.61</v>
      </c>
      <c r="G31">
        <v>7.03</v>
      </c>
      <c r="H31" s="46">
        <v>531127</v>
      </c>
      <c r="I31" s="46">
        <v>550341</v>
      </c>
      <c r="J31">
        <v>-3.49</v>
      </c>
      <c r="K31">
        <v>0</v>
      </c>
    </row>
    <row r="32" spans="1:11" customFormat="1" hidden="1">
      <c r="A32">
        <v>8446</v>
      </c>
      <c r="B32" t="s">
        <v>2259</v>
      </c>
      <c r="C32" s="46">
        <v>98503</v>
      </c>
      <c r="D32" s="46">
        <v>96407</v>
      </c>
      <c r="E32" s="46">
        <v>77286</v>
      </c>
      <c r="F32">
        <v>2.17</v>
      </c>
      <c r="G32">
        <v>27.45</v>
      </c>
      <c r="H32" s="46">
        <v>837900</v>
      </c>
      <c r="I32" s="46">
        <v>774609</v>
      </c>
      <c r="J32">
        <v>8.17</v>
      </c>
      <c r="K32">
        <v>1</v>
      </c>
    </row>
    <row r="33" spans="1:11" customFormat="1" hidden="1">
      <c r="A33">
        <v>8436</v>
      </c>
      <c r="B33" t="s">
        <v>1963</v>
      </c>
      <c r="C33" s="46">
        <v>176534</v>
      </c>
      <c r="D33" s="46">
        <v>192961</v>
      </c>
      <c r="E33" s="46">
        <v>115698</v>
      </c>
      <c r="F33">
        <v>-8.51</v>
      </c>
      <c r="G33">
        <v>52.58</v>
      </c>
      <c r="H33" s="46">
        <v>1644470</v>
      </c>
      <c r="I33" s="46">
        <v>1158233</v>
      </c>
      <c r="J33">
        <v>41.98</v>
      </c>
      <c r="K33" s="242">
        <v>1</v>
      </c>
    </row>
    <row r="34" spans="1:11" customFormat="1" hidden="1">
      <c r="A34">
        <v>8435</v>
      </c>
      <c r="B34" t="s">
        <v>523</v>
      </c>
      <c r="C34" s="46">
        <v>50184</v>
      </c>
      <c r="D34" s="46">
        <v>51999</v>
      </c>
      <c r="E34" s="46">
        <v>54522</v>
      </c>
      <c r="F34">
        <v>-3.49</v>
      </c>
      <c r="G34">
        <v>-7.95</v>
      </c>
      <c r="H34" s="46">
        <v>523427</v>
      </c>
      <c r="I34" s="46">
        <v>519386</v>
      </c>
      <c r="J34">
        <v>0.77</v>
      </c>
      <c r="K34">
        <v>0</v>
      </c>
    </row>
    <row r="35" spans="1:11" customFormat="1">
      <c r="A35" s="62" t="str">
        <f>HYPERLINK("http://tw.stock.yahoo.com/q/ta?s=3707","3707")</f>
        <v>3707</v>
      </c>
      <c r="B35" s="62" t="str">
        <f>HYPERLINK("http://tw.stock.yahoo.com/d/s/earning_3707.html","漢磊")</f>
        <v>漢磊</v>
      </c>
      <c r="C35" s="46">
        <v>285384</v>
      </c>
      <c r="D35" s="46">
        <v>265507</v>
      </c>
      <c r="E35" s="46">
        <v>241487</v>
      </c>
      <c r="F35">
        <v>7.48</v>
      </c>
      <c r="G35">
        <v>18.170000000000002</v>
      </c>
      <c r="H35" s="46">
        <v>2690403</v>
      </c>
      <c r="I35" s="46">
        <v>241487</v>
      </c>
      <c r="J35" s="233">
        <v>1014.09</v>
      </c>
      <c r="K35">
        <v>1</v>
      </c>
    </row>
    <row r="36" spans="1:11" customFormat="1" hidden="1">
      <c r="A36">
        <v>8432</v>
      </c>
      <c r="B36" t="s">
        <v>521</v>
      </c>
      <c r="C36" s="46">
        <v>45635</v>
      </c>
      <c r="D36" s="46">
        <v>37614</v>
      </c>
      <c r="E36" s="46">
        <v>48710</v>
      </c>
      <c r="F36">
        <v>21.32</v>
      </c>
      <c r="G36">
        <v>-6.31</v>
      </c>
      <c r="H36" s="46">
        <v>434618</v>
      </c>
      <c r="I36" s="46">
        <v>468618</v>
      </c>
      <c r="J36">
        <v>-7.25</v>
      </c>
      <c r="K36">
        <v>1</v>
      </c>
    </row>
    <row r="37" spans="1:11" customFormat="1" hidden="1">
      <c r="A37">
        <v>8431</v>
      </c>
      <c r="B37" t="s">
        <v>520</v>
      </c>
      <c r="C37" s="46">
        <v>56298</v>
      </c>
      <c r="D37" s="46">
        <v>54866</v>
      </c>
      <c r="E37" s="46">
        <v>90359</v>
      </c>
      <c r="F37">
        <v>2.6</v>
      </c>
      <c r="G37">
        <v>-37.69</v>
      </c>
      <c r="H37" s="46">
        <v>707565</v>
      </c>
      <c r="I37" s="46">
        <v>776520</v>
      </c>
      <c r="J37">
        <v>-8.8800000000000008</v>
      </c>
      <c r="K37" s="242">
        <v>0</v>
      </c>
    </row>
    <row r="38" spans="1:11" customFormat="1" hidden="1">
      <c r="A38">
        <v>8424</v>
      </c>
      <c r="B38" t="s">
        <v>519</v>
      </c>
      <c r="C38" s="46">
        <v>74641</v>
      </c>
      <c r="D38" s="46">
        <v>70416</v>
      </c>
      <c r="E38" s="46">
        <v>72722</v>
      </c>
      <c r="F38">
        <v>6</v>
      </c>
      <c r="G38">
        <v>2.63</v>
      </c>
      <c r="H38" s="46">
        <v>705267</v>
      </c>
      <c r="I38" s="46">
        <v>717736</v>
      </c>
      <c r="J38">
        <v>-1.73</v>
      </c>
      <c r="K38" s="242">
        <v>1</v>
      </c>
    </row>
    <row r="39" spans="1:11" customFormat="1" hidden="1">
      <c r="A39">
        <v>8421</v>
      </c>
      <c r="B39" t="s">
        <v>518</v>
      </c>
      <c r="C39" s="46">
        <v>87987</v>
      </c>
      <c r="D39" s="46">
        <v>81813</v>
      </c>
      <c r="E39" s="46">
        <v>79086</v>
      </c>
      <c r="F39">
        <v>7.54</v>
      </c>
      <c r="G39">
        <v>11.25</v>
      </c>
      <c r="H39" s="46">
        <v>886053</v>
      </c>
      <c r="I39" s="46">
        <v>817836</v>
      </c>
      <c r="J39">
        <v>8.34</v>
      </c>
      <c r="K39">
        <v>0</v>
      </c>
    </row>
    <row r="40" spans="1:11" customFormat="1" hidden="1">
      <c r="A40">
        <v>8420</v>
      </c>
      <c r="B40" t="s">
        <v>517</v>
      </c>
      <c r="C40" s="46">
        <v>91482</v>
      </c>
      <c r="D40" s="46">
        <v>100825</v>
      </c>
      <c r="E40" s="46">
        <v>69934</v>
      </c>
      <c r="F40">
        <v>-9.26</v>
      </c>
      <c r="G40">
        <v>30.81</v>
      </c>
      <c r="H40" s="46">
        <v>1039341</v>
      </c>
      <c r="I40" s="46">
        <v>885838</v>
      </c>
      <c r="J40">
        <v>17.32</v>
      </c>
      <c r="K40">
        <v>0</v>
      </c>
    </row>
    <row r="41" spans="1:11" customFormat="1" hidden="1">
      <c r="A41">
        <v>8416</v>
      </c>
      <c r="B41" t="s">
        <v>516</v>
      </c>
      <c r="C41" s="46">
        <v>84518</v>
      </c>
      <c r="D41" s="46">
        <v>56926</v>
      </c>
      <c r="E41" s="46">
        <v>61465</v>
      </c>
      <c r="F41">
        <v>48.46</v>
      </c>
      <c r="G41">
        <v>37.5</v>
      </c>
      <c r="H41" s="46">
        <v>651395</v>
      </c>
      <c r="I41" s="46">
        <v>618781</v>
      </c>
      <c r="J41">
        <v>5.27</v>
      </c>
      <c r="K41">
        <v>1</v>
      </c>
    </row>
    <row r="42" spans="1:11" customFormat="1" hidden="1">
      <c r="A42">
        <v>8410</v>
      </c>
      <c r="B42" t="s">
        <v>515</v>
      </c>
      <c r="C42" s="46">
        <v>79499</v>
      </c>
      <c r="D42" s="46">
        <v>67368</v>
      </c>
      <c r="E42" s="46">
        <v>88463</v>
      </c>
      <c r="F42">
        <v>18</v>
      </c>
      <c r="G42">
        <v>-10.130000000000001</v>
      </c>
      <c r="H42" s="46">
        <v>526810</v>
      </c>
      <c r="I42" s="46">
        <v>807578</v>
      </c>
      <c r="J42">
        <v>-34.76</v>
      </c>
      <c r="K42">
        <v>1</v>
      </c>
    </row>
    <row r="43" spans="1:11" customFormat="1" hidden="1">
      <c r="A43">
        <v>8409</v>
      </c>
      <c r="B43" t="s">
        <v>1830</v>
      </c>
      <c r="C43" s="46">
        <v>16032</v>
      </c>
      <c r="D43" s="46">
        <v>38733</v>
      </c>
      <c r="E43" s="46">
        <v>13573</v>
      </c>
      <c r="F43">
        <v>-58.6</v>
      </c>
      <c r="G43">
        <v>18.11</v>
      </c>
      <c r="H43" s="46">
        <v>183882</v>
      </c>
      <c r="I43" s="46">
        <v>122813</v>
      </c>
      <c r="J43">
        <v>49.72</v>
      </c>
      <c r="K43">
        <v>0</v>
      </c>
    </row>
    <row r="44" spans="1:11" customFormat="1" hidden="1">
      <c r="A44">
        <v>8403</v>
      </c>
      <c r="B44" t="s">
        <v>2136</v>
      </c>
      <c r="C44" s="46">
        <v>202360</v>
      </c>
      <c r="D44" s="46">
        <v>170528</v>
      </c>
      <c r="E44" s="46">
        <v>162034</v>
      </c>
      <c r="F44">
        <v>18.66</v>
      </c>
      <c r="G44">
        <v>24.88</v>
      </c>
      <c r="H44" s="46">
        <v>1754881</v>
      </c>
      <c r="I44" s="46">
        <v>1630808</v>
      </c>
      <c r="J44">
        <v>7.6</v>
      </c>
      <c r="K44" s="242">
        <v>1</v>
      </c>
    </row>
    <row r="45" spans="1:11" customFormat="1" hidden="1">
      <c r="A45">
        <v>8401</v>
      </c>
      <c r="B45" t="s">
        <v>2089</v>
      </c>
      <c r="C45" s="46">
        <v>122398</v>
      </c>
      <c r="D45" s="46">
        <v>103550</v>
      </c>
      <c r="E45" s="46">
        <v>150929</v>
      </c>
      <c r="F45">
        <v>18.2</v>
      </c>
      <c r="G45">
        <v>-18.899999999999999</v>
      </c>
      <c r="H45" s="46">
        <v>1089489</v>
      </c>
      <c r="I45" s="46">
        <v>1133171</v>
      </c>
      <c r="J45">
        <v>-3.85</v>
      </c>
      <c r="K45">
        <v>1</v>
      </c>
    </row>
    <row r="46" spans="1:11" customFormat="1" hidden="1">
      <c r="A46">
        <v>8390</v>
      </c>
      <c r="B46" t="s">
        <v>1826</v>
      </c>
      <c r="C46" s="46">
        <v>237556</v>
      </c>
      <c r="D46" s="46">
        <v>265672</v>
      </c>
      <c r="E46" s="46">
        <v>292354</v>
      </c>
      <c r="F46">
        <v>-10.58</v>
      </c>
      <c r="G46">
        <v>-18.739999999999998</v>
      </c>
      <c r="H46" s="46">
        <v>2595598</v>
      </c>
      <c r="I46" s="46">
        <v>3180376</v>
      </c>
      <c r="J46">
        <v>-18.38</v>
      </c>
      <c r="K46">
        <v>0</v>
      </c>
    </row>
    <row r="47" spans="1:11" customFormat="1" hidden="1">
      <c r="A47">
        <v>8383</v>
      </c>
      <c r="B47" t="s">
        <v>514</v>
      </c>
      <c r="C47" s="46">
        <v>319102</v>
      </c>
      <c r="D47" s="46">
        <v>310455</v>
      </c>
      <c r="E47" s="46">
        <v>259232</v>
      </c>
      <c r="F47">
        <v>2.78</v>
      </c>
      <c r="G47">
        <v>23.09</v>
      </c>
      <c r="H47" s="46">
        <v>2546500</v>
      </c>
      <c r="I47" s="46">
        <v>2481167</v>
      </c>
      <c r="J47">
        <v>2.63</v>
      </c>
      <c r="K47" s="242">
        <v>1</v>
      </c>
    </row>
    <row r="48" spans="1:11" customFormat="1" hidden="1">
      <c r="A48">
        <v>8358</v>
      </c>
      <c r="B48" t="s">
        <v>2056</v>
      </c>
      <c r="C48" s="46">
        <v>377007</v>
      </c>
      <c r="D48" s="46">
        <v>408630</v>
      </c>
      <c r="E48" s="46">
        <v>300968</v>
      </c>
      <c r="F48">
        <v>-7.73</v>
      </c>
      <c r="G48">
        <v>25.26</v>
      </c>
      <c r="H48" s="46">
        <v>3531256</v>
      </c>
      <c r="I48" s="46">
        <v>3392426</v>
      </c>
      <c r="J48">
        <v>4.09</v>
      </c>
      <c r="K48">
        <v>1</v>
      </c>
    </row>
    <row r="49" spans="1:11" customFormat="1" hidden="1">
      <c r="A49">
        <v>8354</v>
      </c>
      <c r="B49" t="s">
        <v>2114</v>
      </c>
      <c r="C49" s="46">
        <v>81104</v>
      </c>
      <c r="D49" s="46">
        <v>74502</v>
      </c>
      <c r="E49" s="46">
        <v>136211</v>
      </c>
      <c r="F49">
        <v>8.86</v>
      </c>
      <c r="G49">
        <v>-40.450000000000003</v>
      </c>
      <c r="H49" s="46">
        <v>789556</v>
      </c>
      <c r="I49" s="46">
        <v>942957</v>
      </c>
      <c r="J49">
        <v>-16.260000000000002</v>
      </c>
      <c r="K49">
        <v>0</v>
      </c>
    </row>
    <row r="50" spans="1:11" customFormat="1" hidden="1">
      <c r="A50">
        <v>8349</v>
      </c>
      <c r="B50" t="s">
        <v>2139</v>
      </c>
      <c r="C50" s="46">
        <v>782909</v>
      </c>
      <c r="D50" s="46">
        <v>793600</v>
      </c>
      <c r="E50" s="46">
        <v>876667</v>
      </c>
      <c r="F50">
        <v>-1.34</v>
      </c>
      <c r="G50">
        <v>-10.69</v>
      </c>
      <c r="H50" s="46">
        <v>7988317</v>
      </c>
      <c r="I50" s="46">
        <v>5143249</v>
      </c>
      <c r="J50">
        <v>55.31</v>
      </c>
      <c r="K50">
        <v>0</v>
      </c>
    </row>
    <row r="51" spans="1:11" customFormat="1" hidden="1">
      <c r="A51">
        <v>8299</v>
      </c>
      <c r="B51" t="s">
        <v>1998</v>
      </c>
      <c r="C51" s="46">
        <v>4170476</v>
      </c>
      <c r="D51" s="46">
        <v>3491055</v>
      </c>
      <c r="E51" s="46">
        <v>3120819</v>
      </c>
      <c r="F51" s="233">
        <v>19.46</v>
      </c>
      <c r="G51">
        <v>33.630000000000003</v>
      </c>
      <c r="H51" s="46">
        <v>30987926</v>
      </c>
      <c r="I51" s="46">
        <v>27427777</v>
      </c>
      <c r="J51">
        <v>12.98</v>
      </c>
      <c r="K51" s="242">
        <v>1</v>
      </c>
    </row>
    <row r="52" spans="1:11" customFormat="1" hidden="1">
      <c r="A52">
        <v>8291</v>
      </c>
      <c r="B52" t="s">
        <v>2109</v>
      </c>
      <c r="C52" s="46">
        <v>54633</v>
      </c>
      <c r="D52" s="46">
        <v>41665</v>
      </c>
      <c r="E52" s="46">
        <v>44927</v>
      </c>
      <c r="F52">
        <v>31.12</v>
      </c>
      <c r="G52">
        <v>21.6</v>
      </c>
      <c r="H52" s="46">
        <v>450217</v>
      </c>
      <c r="I52" s="46">
        <v>501645</v>
      </c>
      <c r="J52">
        <v>-10.25</v>
      </c>
      <c r="K52" s="242">
        <v>1</v>
      </c>
    </row>
    <row r="53" spans="1:11" customFormat="1" hidden="1">
      <c r="A53">
        <v>8289</v>
      </c>
      <c r="B53" t="s">
        <v>2208</v>
      </c>
      <c r="C53" s="46">
        <v>117422</v>
      </c>
      <c r="D53" s="46">
        <v>139983</v>
      </c>
      <c r="E53" s="46">
        <v>139692</v>
      </c>
      <c r="F53">
        <v>-16.11</v>
      </c>
      <c r="G53">
        <v>-15.94</v>
      </c>
      <c r="H53" s="46">
        <v>1330331</v>
      </c>
      <c r="I53" s="46">
        <v>1339982</v>
      </c>
      <c r="J53">
        <v>-0.72</v>
      </c>
      <c r="K53" s="242">
        <v>0</v>
      </c>
    </row>
    <row r="54" spans="1:11" customFormat="1" hidden="1">
      <c r="A54">
        <v>8287</v>
      </c>
      <c r="B54" t="s">
        <v>2207</v>
      </c>
      <c r="C54" s="46">
        <v>1368774</v>
      </c>
      <c r="D54" s="46">
        <v>1311237</v>
      </c>
      <c r="E54" s="46">
        <v>1043027</v>
      </c>
      <c r="F54">
        <v>4.38</v>
      </c>
      <c r="G54">
        <v>31.23</v>
      </c>
      <c r="H54" s="46">
        <v>12938471</v>
      </c>
      <c r="I54" s="46">
        <v>10005308</v>
      </c>
      <c r="J54">
        <v>29.31</v>
      </c>
      <c r="K54">
        <v>1</v>
      </c>
    </row>
    <row r="55" spans="1:11" customFormat="1" hidden="1">
      <c r="A55">
        <v>8277</v>
      </c>
      <c r="B55" t="s">
        <v>1990</v>
      </c>
      <c r="C55" s="46">
        <v>61716</v>
      </c>
      <c r="D55" s="46">
        <v>36587</v>
      </c>
      <c r="E55" s="46">
        <v>82570</v>
      </c>
      <c r="F55">
        <v>68.680000000000007</v>
      </c>
      <c r="G55">
        <v>-25.25</v>
      </c>
      <c r="H55" s="46">
        <v>476623</v>
      </c>
      <c r="I55" s="46">
        <v>1266724</v>
      </c>
      <c r="J55">
        <v>-62.37</v>
      </c>
      <c r="K55">
        <v>1</v>
      </c>
    </row>
    <row r="56" spans="1:11" customFormat="1">
      <c r="A56" s="62" t="str">
        <f>HYPERLINK("http://tw.stock.yahoo.com/q/ta?s=6103","6103")</f>
        <v>6103</v>
      </c>
      <c r="B56" s="62" t="str">
        <f>HYPERLINK("http://tw.stock.yahoo.com/d/s/earning_6103.html","合邦電子")</f>
        <v>合邦電子</v>
      </c>
      <c r="C56" s="46">
        <v>66036</v>
      </c>
      <c r="D56" s="46">
        <v>52576</v>
      </c>
      <c r="E56" s="46">
        <v>2903</v>
      </c>
      <c r="F56">
        <v>25.6</v>
      </c>
      <c r="G56" s="233">
        <v>2174.75</v>
      </c>
      <c r="H56" s="46">
        <v>354321</v>
      </c>
      <c r="I56" s="46">
        <v>36377</v>
      </c>
      <c r="J56">
        <v>874.02</v>
      </c>
      <c r="K56">
        <v>1</v>
      </c>
    </row>
    <row r="57" spans="1:11" customFormat="1" hidden="1">
      <c r="A57">
        <v>8255</v>
      </c>
      <c r="B57" t="s">
        <v>1941</v>
      </c>
      <c r="C57" s="46">
        <v>297769</v>
      </c>
      <c r="D57" s="46">
        <v>276975</v>
      </c>
      <c r="E57" s="46">
        <v>299964</v>
      </c>
      <c r="F57">
        <v>7.5</v>
      </c>
      <c r="G57">
        <v>-0.73</v>
      </c>
      <c r="H57" s="46">
        <v>2940201</v>
      </c>
      <c r="I57" s="46">
        <v>2944733</v>
      </c>
      <c r="J57">
        <v>-0.15</v>
      </c>
      <c r="K57">
        <v>0</v>
      </c>
    </row>
    <row r="58" spans="1:11" customFormat="1" hidden="1">
      <c r="A58">
        <v>8240</v>
      </c>
      <c r="B58" t="s">
        <v>2008</v>
      </c>
      <c r="C58" s="46">
        <v>855070</v>
      </c>
      <c r="D58" s="46">
        <v>902533</v>
      </c>
      <c r="E58" s="46">
        <v>1080743</v>
      </c>
      <c r="F58">
        <v>-5.25</v>
      </c>
      <c r="G58">
        <v>-20.88</v>
      </c>
      <c r="H58" s="46">
        <v>7970238</v>
      </c>
      <c r="I58" s="46">
        <v>10417980</v>
      </c>
      <c r="J58">
        <v>-23.49</v>
      </c>
      <c r="K58">
        <v>1</v>
      </c>
    </row>
    <row r="59" spans="1:11" customFormat="1" hidden="1">
      <c r="A59">
        <v>8234</v>
      </c>
      <c r="B59" t="s">
        <v>513</v>
      </c>
      <c r="C59" s="46">
        <v>484542</v>
      </c>
      <c r="D59" s="46">
        <v>446593</v>
      </c>
      <c r="E59" s="46">
        <v>449930</v>
      </c>
      <c r="F59">
        <v>8.49</v>
      </c>
      <c r="G59">
        <v>7.69</v>
      </c>
      <c r="H59" s="46">
        <v>4439901</v>
      </c>
      <c r="I59" s="46">
        <v>4392311</v>
      </c>
      <c r="J59">
        <v>1.08</v>
      </c>
      <c r="K59">
        <v>1</v>
      </c>
    </row>
    <row r="60" spans="1:11" customFormat="1" hidden="1">
      <c r="A60">
        <v>8183</v>
      </c>
      <c r="B60" t="s">
        <v>2235</v>
      </c>
      <c r="C60" s="46">
        <v>261952</v>
      </c>
      <c r="D60" s="46">
        <v>240609</v>
      </c>
      <c r="E60" s="46">
        <v>305976</v>
      </c>
      <c r="F60">
        <v>8.8699999999999992</v>
      </c>
      <c r="G60">
        <v>-14.38</v>
      </c>
      <c r="H60" s="46">
        <v>2121521</v>
      </c>
      <c r="I60" s="46">
        <v>2694496</v>
      </c>
      <c r="J60">
        <v>-21.26</v>
      </c>
      <c r="K60" s="242">
        <v>1</v>
      </c>
    </row>
    <row r="61" spans="1:11" customFormat="1" hidden="1">
      <c r="A61">
        <v>8182</v>
      </c>
      <c r="B61" t="s">
        <v>2206</v>
      </c>
      <c r="C61" s="46">
        <v>278210</v>
      </c>
      <c r="D61" s="46">
        <v>254898</v>
      </c>
      <c r="E61" s="46">
        <v>267638</v>
      </c>
      <c r="F61">
        <v>9.14</v>
      </c>
      <c r="G61">
        <v>3.95</v>
      </c>
      <c r="H61" s="46">
        <v>2303410</v>
      </c>
      <c r="I61" s="46">
        <v>2403319</v>
      </c>
      <c r="J61">
        <v>-4.1500000000000004</v>
      </c>
      <c r="K61">
        <v>1</v>
      </c>
    </row>
    <row r="62" spans="1:11" customFormat="1" hidden="1">
      <c r="A62">
        <v>8176</v>
      </c>
      <c r="B62" t="s">
        <v>1812</v>
      </c>
      <c r="C62" s="46">
        <v>138268</v>
      </c>
      <c r="D62" s="46">
        <v>128203</v>
      </c>
      <c r="E62" s="46">
        <v>106325</v>
      </c>
      <c r="F62">
        <v>7.85</v>
      </c>
      <c r="G62">
        <v>30.04</v>
      </c>
      <c r="H62" s="46">
        <v>1058579</v>
      </c>
      <c r="I62" s="46">
        <v>997124</v>
      </c>
      <c r="J62">
        <v>6.16</v>
      </c>
      <c r="K62">
        <v>1</v>
      </c>
    </row>
    <row r="63" spans="1:11" customFormat="1" hidden="1">
      <c r="A63">
        <v>8171</v>
      </c>
      <c r="B63" t="s">
        <v>2018</v>
      </c>
      <c r="C63" s="46">
        <v>206497</v>
      </c>
      <c r="D63" s="46">
        <v>216658</v>
      </c>
      <c r="E63" s="46">
        <v>253773</v>
      </c>
      <c r="F63">
        <v>-4.68</v>
      </c>
      <c r="G63">
        <v>-18.62</v>
      </c>
      <c r="H63" s="46">
        <v>1926260</v>
      </c>
      <c r="I63" s="46">
        <v>2704335</v>
      </c>
      <c r="J63">
        <v>-28.77</v>
      </c>
      <c r="K63">
        <v>1</v>
      </c>
    </row>
    <row r="64" spans="1:11" customFormat="1" hidden="1">
      <c r="A64">
        <v>8155</v>
      </c>
      <c r="B64" t="s">
        <v>2055</v>
      </c>
      <c r="C64" s="46">
        <v>120761</v>
      </c>
      <c r="D64" s="46">
        <v>111950</v>
      </c>
      <c r="E64" s="46">
        <v>151016</v>
      </c>
      <c r="F64">
        <v>7.87</v>
      </c>
      <c r="G64">
        <v>-20.03</v>
      </c>
      <c r="H64" s="46">
        <v>1281281</v>
      </c>
      <c r="I64" s="46">
        <v>1465324</v>
      </c>
      <c r="J64">
        <v>-12.55</v>
      </c>
      <c r="K64">
        <v>0</v>
      </c>
    </row>
    <row r="65" spans="1:11" customFormat="1" hidden="1">
      <c r="A65">
        <v>8147</v>
      </c>
      <c r="B65" t="s">
        <v>2205</v>
      </c>
      <c r="C65" s="46">
        <v>68309</v>
      </c>
      <c r="D65" s="46">
        <v>63113</v>
      </c>
      <c r="E65" s="46">
        <v>53151</v>
      </c>
      <c r="F65">
        <v>8.23</v>
      </c>
      <c r="G65">
        <v>28.51</v>
      </c>
      <c r="H65" s="46">
        <v>673914</v>
      </c>
      <c r="I65" s="46">
        <v>597533</v>
      </c>
      <c r="J65">
        <v>12.78</v>
      </c>
      <c r="K65">
        <v>0</v>
      </c>
    </row>
    <row r="66" spans="1:11" customFormat="1" hidden="1">
      <c r="A66">
        <v>8121</v>
      </c>
      <c r="B66" t="s">
        <v>2054</v>
      </c>
      <c r="C66" s="46">
        <v>181033</v>
      </c>
      <c r="D66" s="46">
        <v>193747</v>
      </c>
      <c r="E66" s="46">
        <v>238928</v>
      </c>
      <c r="F66">
        <v>-6.56</v>
      </c>
      <c r="G66" s="233">
        <v>-24.23</v>
      </c>
      <c r="H66" s="46">
        <v>2023122</v>
      </c>
      <c r="I66" s="46">
        <v>2370638</v>
      </c>
      <c r="J66" s="233">
        <v>-14.65</v>
      </c>
      <c r="K66">
        <v>0</v>
      </c>
    </row>
    <row r="67" spans="1:11" customFormat="1" hidden="1">
      <c r="A67">
        <v>8111</v>
      </c>
      <c r="B67" t="s">
        <v>2007</v>
      </c>
      <c r="C67" s="46">
        <v>53476</v>
      </c>
      <c r="D67" s="46">
        <v>60872</v>
      </c>
      <c r="E67" s="46">
        <v>79824</v>
      </c>
      <c r="F67">
        <v>-12.15</v>
      </c>
      <c r="G67">
        <v>-33</v>
      </c>
      <c r="H67" s="46">
        <v>660146</v>
      </c>
      <c r="I67" s="46">
        <v>796118</v>
      </c>
      <c r="J67">
        <v>-17.07</v>
      </c>
      <c r="K67">
        <v>0</v>
      </c>
    </row>
    <row r="68" spans="1:11" customFormat="1" hidden="1">
      <c r="A68">
        <v>8109</v>
      </c>
      <c r="B68" t="s">
        <v>2053</v>
      </c>
      <c r="C68" s="46">
        <v>86735</v>
      </c>
      <c r="D68" s="46">
        <v>86235</v>
      </c>
      <c r="E68" s="46">
        <v>87483</v>
      </c>
      <c r="F68">
        <v>0.56999999999999995</v>
      </c>
      <c r="G68">
        <v>-0.85</v>
      </c>
      <c r="H68" s="46">
        <v>772702</v>
      </c>
      <c r="I68" s="46">
        <v>748721</v>
      </c>
      <c r="J68">
        <v>3.2</v>
      </c>
      <c r="K68">
        <v>1</v>
      </c>
    </row>
    <row r="69" spans="1:11" customFormat="1" hidden="1">
      <c r="A69">
        <v>8107</v>
      </c>
      <c r="B69" t="s">
        <v>512</v>
      </c>
      <c r="C69" s="46">
        <v>79691</v>
      </c>
      <c r="D69" s="46">
        <v>85064</v>
      </c>
      <c r="E69" s="46">
        <v>109445</v>
      </c>
      <c r="F69">
        <v>-6.31</v>
      </c>
      <c r="G69">
        <v>-27.18</v>
      </c>
      <c r="H69" s="46">
        <v>785916</v>
      </c>
      <c r="I69" s="46">
        <v>2232122</v>
      </c>
      <c r="J69">
        <v>-64.790000000000006</v>
      </c>
      <c r="K69">
        <v>0</v>
      </c>
    </row>
    <row r="70" spans="1:11" customFormat="1" hidden="1">
      <c r="A70">
        <v>8099</v>
      </c>
      <c r="B70" t="s">
        <v>2062</v>
      </c>
      <c r="C70" s="46">
        <v>251034</v>
      </c>
      <c r="D70" s="46">
        <v>255154</v>
      </c>
      <c r="E70" s="46">
        <v>311497</v>
      </c>
      <c r="F70">
        <v>-1.61</v>
      </c>
      <c r="G70">
        <v>-19.41</v>
      </c>
      <c r="H70" s="46">
        <v>2783389</v>
      </c>
      <c r="I70" s="46">
        <v>2777420</v>
      </c>
      <c r="J70">
        <v>0.21</v>
      </c>
      <c r="K70">
        <v>0</v>
      </c>
    </row>
    <row r="71" spans="1:11" customFormat="1" hidden="1">
      <c r="A71">
        <v>8097</v>
      </c>
      <c r="B71" t="s">
        <v>2187</v>
      </c>
      <c r="C71" s="46">
        <v>3720</v>
      </c>
      <c r="D71" s="46">
        <v>6138</v>
      </c>
      <c r="E71" s="46">
        <v>10502</v>
      </c>
      <c r="F71">
        <v>-39.39</v>
      </c>
      <c r="G71">
        <v>-64.569999999999993</v>
      </c>
      <c r="H71" s="46">
        <v>52106</v>
      </c>
      <c r="I71" s="46">
        <v>68671</v>
      </c>
      <c r="J71">
        <v>-24.12</v>
      </c>
      <c r="K71">
        <v>0</v>
      </c>
    </row>
    <row r="72" spans="1:11" customFormat="1">
      <c r="A72" s="62" t="str">
        <f>HYPERLINK("http://tw.stock.yahoo.com/q/ta?s=8077","8077")</f>
        <v>8077</v>
      </c>
      <c r="B72" s="62" t="str">
        <f>HYPERLINK("http://tw.stock.yahoo.com/d/s/earning_8077.html","洛碁實業")</f>
        <v>洛碁實業</v>
      </c>
      <c r="C72" s="46">
        <v>54597</v>
      </c>
      <c r="D72" s="46">
        <v>51803</v>
      </c>
      <c r="E72" s="46">
        <v>5659</v>
      </c>
      <c r="F72">
        <v>5.39</v>
      </c>
      <c r="G72">
        <v>864.78</v>
      </c>
      <c r="H72" s="46">
        <v>204962</v>
      </c>
      <c r="I72" s="46">
        <v>35289</v>
      </c>
      <c r="J72">
        <v>480.8</v>
      </c>
      <c r="K72">
        <v>1</v>
      </c>
    </row>
    <row r="73" spans="1:11" customFormat="1" hidden="1">
      <c r="A73">
        <v>8093</v>
      </c>
      <c r="B73" t="s">
        <v>2204</v>
      </c>
      <c r="C73" s="46">
        <v>50395</v>
      </c>
      <c r="D73" s="46">
        <v>46177</v>
      </c>
      <c r="E73" s="46">
        <v>53828</v>
      </c>
      <c r="F73">
        <v>9.1300000000000008</v>
      </c>
      <c r="G73">
        <v>-6.37</v>
      </c>
      <c r="H73" s="46">
        <v>442890</v>
      </c>
      <c r="I73" s="46">
        <v>672574</v>
      </c>
      <c r="J73">
        <v>-34.14</v>
      </c>
      <c r="K73">
        <v>1</v>
      </c>
    </row>
    <row r="74" spans="1:11" customFormat="1" hidden="1">
      <c r="A74">
        <v>8092</v>
      </c>
      <c r="B74" t="s">
        <v>2234</v>
      </c>
      <c r="C74" s="46">
        <v>33807</v>
      </c>
      <c r="D74" s="46">
        <v>20753</v>
      </c>
      <c r="E74" s="46">
        <v>36005</v>
      </c>
      <c r="F74">
        <v>62.9</v>
      </c>
      <c r="G74">
        <v>-6.1</v>
      </c>
      <c r="H74" s="46">
        <v>341879</v>
      </c>
      <c r="I74" s="46">
        <v>341207</v>
      </c>
      <c r="J74">
        <v>0.19</v>
      </c>
      <c r="K74" s="242">
        <v>0</v>
      </c>
    </row>
    <row r="75" spans="1:11" customFormat="1">
      <c r="A75" s="62" t="str">
        <f>HYPERLINK("http://tw.stock.yahoo.com/q/ta?s=5364","5364")</f>
        <v>5364</v>
      </c>
      <c r="B75" s="62" t="str">
        <f>HYPERLINK("http://tw.stock.yahoo.com/d/s/earning_5364.html","力麗店")</f>
        <v>力麗店</v>
      </c>
      <c r="C75" s="46">
        <v>43312</v>
      </c>
      <c r="D75" s="46">
        <v>37610</v>
      </c>
      <c r="E75" s="46">
        <v>15657</v>
      </c>
      <c r="F75">
        <v>15.16</v>
      </c>
      <c r="G75">
        <v>176.63</v>
      </c>
      <c r="H75" s="46">
        <v>360480</v>
      </c>
      <c r="I75" s="46">
        <v>95667</v>
      </c>
      <c r="J75">
        <v>276.8</v>
      </c>
      <c r="K75">
        <v>1</v>
      </c>
    </row>
    <row r="76" spans="1:11" customFormat="1" hidden="1">
      <c r="A76">
        <v>8088</v>
      </c>
      <c r="B76" t="s">
        <v>511</v>
      </c>
      <c r="C76" s="46">
        <v>165809</v>
      </c>
      <c r="D76" s="46">
        <v>207726</v>
      </c>
      <c r="E76" s="46">
        <v>265751</v>
      </c>
      <c r="F76">
        <v>-20.170000000000002</v>
      </c>
      <c r="G76">
        <v>-37.6</v>
      </c>
      <c r="H76" s="46">
        <v>1652493</v>
      </c>
      <c r="I76" s="46">
        <v>2563314</v>
      </c>
      <c r="J76">
        <v>-35.53</v>
      </c>
      <c r="K76">
        <v>0</v>
      </c>
    </row>
    <row r="77" spans="1:11" customFormat="1" hidden="1">
      <c r="A77">
        <v>8087</v>
      </c>
      <c r="B77" t="s">
        <v>510</v>
      </c>
      <c r="C77" s="46">
        <v>10666</v>
      </c>
      <c r="D77" s="46">
        <v>11468</v>
      </c>
      <c r="E77" s="46">
        <v>10062</v>
      </c>
      <c r="F77">
        <v>-6.99</v>
      </c>
      <c r="G77">
        <v>6</v>
      </c>
      <c r="H77" s="46">
        <v>121299</v>
      </c>
      <c r="I77" s="46">
        <v>125517</v>
      </c>
      <c r="J77">
        <v>-3.36</v>
      </c>
      <c r="K77">
        <v>0</v>
      </c>
    </row>
    <row r="78" spans="1:11" customFormat="1" hidden="1">
      <c r="A78">
        <v>8086</v>
      </c>
      <c r="B78" t="s">
        <v>1989</v>
      </c>
      <c r="C78" s="46">
        <v>352037</v>
      </c>
      <c r="D78" s="46">
        <v>405819</v>
      </c>
      <c r="E78" s="46">
        <v>332197</v>
      </c>
      <c r="F78">
        <v>-13.25</v>
      </c>
      <c r="G78">
        <v>5.97</v>
      </c>
      <c r="H78" s="46">
        <v>3663848</v>
      </c>
      <c r="I78" s="46">
        <v>1966717</v>
      </c>
      <c r="J78">
        <v>86.29</v>
      </c>
      <c r="K78" s="242">
        <v>0</v>
      </c>
    </row>
    <row r="79" spans="1:11" customFormat="1" hidden="1">
      <c r="A79">
        <v>8085</v>
      </c>
      <c r="B79" t="s">
        <v>509</v>
      </c>
      <c r="C79" s="46">
        <v>143125</v>
      </c>
      <c r="D79" s="46">
        <v>184793</v>
      </c>
      <c r="E79" s="46">
        <v>163161</v>
      </c>
      <c r="F79">
        <v>-22.54</v>
      </c>
      <c r="G79">
        <v>-12.27</v>
      </c>
      <c r="H79" s="46">
        <v>1530537</v>
      </c>
      <c r="I79" s="46">
        <v>1856842</v>
      </c>
      <c r="J79">
        <v>-17.57</v>
      </c>
      <c r="K79">
        <v>0</v>
      </c>
    </row>
    <row r="80" spans="1:11" customFormat="1" hidden="1">
      <c r="A80">
        <v>8084</v>
      </c>
      <c r="B80" t="s">
        <v>2060</v>
      </c>
      <c r="C80" s="46">
        <v>219464</v>
      </c>
      <c r="D80" s="46">
        <v>187141</v>
      </c>
      <c r="E80" s="46">
        <v>155949</v>
      </c>
      <c r="F80">
        <v>17.27</v>
      </c>
      <c r="G80">
        <v>40.72</v>
      </c>
      <c r="H80" s="46">
        <v>1748703</v>
      </c>
      <c r="I80" s="46">
        <v>1894152</v>
      </c>
      <c r="J80">
        <v>-7.67</v>
      </c>
      <c r="K80">
        <v>1</v>
      </c>
    </row>
    <row r="81" spans="1:11" customFormat="1" hidden="1">
      <c r="A81">
        <v>8083</v>
      </c>
      <c r="B81" t="s">
        <v>508</v>
      </c>
      <c r="C81" s="46">
        <v>88918</v>
      </c>
      <c r="D81" s="46">
        <v>102986</v>
      </c>
      <c r="E81" s="46">
        <v>101433</v>
      </c>
      <c r="F81">
        <v>-13.66</v>
      </c>
      <c r="G81">
        <v>-12.33</v>
      </c>
      <c r="H81" s="46">
        <v>1080858</v>
      </c>
      <c r="I81" s="46">
        <v>1073122</v>
      </c>
      <c r="J81">
        <v>0.72</v>
      </c>
      <c r="K81">
        <v>0</v>
      </c>
    </row>
    <row r="82" spans="1:11" customFormat="1" hidden="1">
      <c r="A82">
        <v>8082</v>
      </c>
      <c r="B82" t="s">
        <v>507</v>
      </c>
      <c r="C82" s="46">
        <v>0</v>
      </c>
      <c r="D82" s="46">
        <v>0</v>
      </c>
      <c r="E82" s="46">
        <v>238</v>
      </c>
      <c r="G82">
        <v>-100</v>
      </c>
      <c r="H82" s="46">
        <v>3738</v>
      </c>
      <c r="I82" s="46">
        <v>17154</v>
      </c>
      <c r="J82">
        <v>-78.2</v>
      </c>
      <c r="K82">
        <v>0</v>
      </c>
    </row>
    <row r="83" spans="1:11" customFormat="1" hidden="1">
      <c r="A83">
        <v>8080</v>
      </c>
      <c r="B83" t="s">
        <v>506</v>
      </c>
      <c r="C83" s="46">
        <v>29326</v>
      </c>
      <c r="D83" s="46">
        <v>44786</v>
      </c>
      <c r="E83" s="46">
        <v>57652</v>
      </c>
      <c r="F83">
        <v>-34.51</v>
      </c>
      <c r="G83">
        <v>-49.13</v>
      </c>
      <c r="H83" s="46">
        <v>389305</v>
      </c>
      <c r="I83" s="46">
        <v>621401</v>
      </c>
      <c r="J83">
        <v>-37.35</v>
      </c>
      <c r="K83">
        <v>0</v>
      </c>
    </row>
    <row r="84" spans="1:11" customFormat="1" hidden="1">
      <c r="A84">
        <v>8079</v>
      </c>
      <c r="B84" t="s">
        <v>2146</v>
      </c>
      <c r="C84" s="46">
        <v>41790</v>
      </c>
      <c r="D84" s="46">
        <v>42660</v>
      </c>
      <c r="E84" s="46">
        <v>48070</v>
      </c>
      <c r="F84">
        <v>-2.0299999999999998</v>
      </c>
      <c r="G84">
        <v>-13.06</v>
      </c>
      <c r="H84" s="46">
        <v>412788</v>
      </c>
      <c r="I84" s="46">
        <v>457188</v>
      </c>
      <c r="J84">
        <v>-9.7100000000000009</v>
      </c>
      <c r="K84">
        <v>0</v>
      </c>
    </row>
    <row r="85" spans="1:11" customFormat="1">
      <c r="A85" s="62" t="str">
        <f>HYPERLINK("http://tw.stock.yahoo.com/q/ta?s=4415","4415")</f>
        <v>4415</v>
      </c>
      <c r="B85" s="62" t="str">
        <f>HYPERLINK("http://tw.stock.yahoo.com/d/s/earning_4415.html","台原藥")</f>
        <v>台原藥</v>
      </c>
      <c r="C85" s="46">
        <v>14800</v>
      </c>
      <c r="D85" s="46">
        <v>13879</v>
      </c>
      <c r="E85" s="46">
        <v>88</v>
      </c>
      <c r="F85">
        <v>6.63</v>
      </c>
      <c r="G85" s="233">
        <v>16718.18</v>
      </c>
      <c r="H85" s="46">
        <v>53877</v>
      </c>
      <c r="I85" s="46">
        <v>17457</v>
      </c>
      <c r="J85">
        <v>208.62</v>
      </c>
      <c r="K85">
        <v>1</v>
      </c>
    </row>
    <row r="86" spans="1:11" customFormat="1" hidden="1">
      <c r="A86">
        <v>8076</v>
      </c>
      <c r="B86" t="s">
        <v>2163</v>
      </c>
      <c r="C86" s="46">
        <v>253798</v>
      </c>
      <c r="D86" s="46">
        <v>289366</v>
      </c>
      <c r="E86" s="46">
        <v>277782</v>
      </c>
      <c r="F86">
        <v>-12.29</v>
      </c>
      <c r="G86">
        <v>-8.6300000000000008</v>
      </c>
      <c r="H86" s="46">
        <v>2262258</v>
      </c>
      <c r="I86" s="46">
        <v>2253588</v>
      </c>
      <c r="J86">
        <v>0.38</v>
      </c>
      <c r="K86">
        <v>1</v>
      </c>
    </row>
    <row r="87" spans="1:11" customFormat="1" hidden="1">
      <c r="A87">
        <v>8074</v>
      </c>
      <c r="B87" t="s">
        <v>2052</v>
      </c>
      <c r="C87" s="46">
        <v>97402</v>
      </c>
      <c r="D87" s="46">
        <v>103120</v>
      </c>
      <c r="E87" s="46">
        <v>110378</v>
      </c>
      <c r="F87">
        <v>-5.54</v>
      </c>
      <c r="G87">
        <v>-11.75</v>
      </c>
      <c r="H87" s="46">
        <v>981450</v>
      </c>
      <c r="I87" s="46">
        <v>1005863</v>
      </c>
      <c r="J87">
        <v>-2.42</v>
      </c>
      <c r="K87">
        <v>0</v>
      </c>
    </row>
    <row r="88" spans="1:11" customFormat="1" hidden="1">
      <c r="A88">
        <v>8071</v>
      </c>
      <c r="B88" t="s">
        <v>505</v>
      </c>
      <c r="C88" s="46">
        <v>185186</v>
      </c>
      <c r="D88" s="46">
        <v>220427</v>
      </c>
      <c r="E88" s="46">
        <v>154264</v>
      </c>
      <c r="F88">
        <v>-15.98</v>
      </c>
      <c r="G88">
        <v>20.04</v>
      </c>
      <c r="H88" s="46">
        <v>1892457</v>
      </c>
      <c r="I88" s="46">
        <v>1682758</v>
      </c>
      <c r="J88">
        <v>12.46</v>
      </c>
      <c r="K88">
        <v>0</v>
      </c>
    </row>
    <row r="89" spans="1:11" customFormat="1" hidden="1">
      <c r="A89">
        <v>8069</v>
      </c>
      <c r="B89" t="s">
        <v>2176</v>
      </c>
      <c r="C89" s="46">
        <v>1112588</v>
      </c>
      <c r="D89" s="46">
        <v>1431303</v>
      </c>
      <c r="E89" s="46">
        <v>1315520</v>
      </c>
      <c r="F89">
        <v>-22.26</v>
      </c>
      <c r="G89">
        <v>-15.42</v>
      </c>
      <c r="H89" s="46">
        <v>11882456</v>
      </c>
      <c r="I89" s="46">
        <v>12169970</v>
      </c>
      <c r="J89">
        <v>-2.36</v>
      </c>
      <c r="K89">
        <v>0</v>
      </c>
    </row>
    <row r="90" spans="1:11" customFormat="1" hidden="1">
      <c r="A90">
        <v>8068</v>
      </c>
      <c r="B90" t="s">
        <v>504</v>
      </c>
      <c r="C90" s="46">
        <v>115179</v>
      </c>
      <c r="D90" s="46">
        <v>127458</v>
      </c>
      <c r="E90" s="46">
        <v>105190</v>
      </c>
      <c r="F90">
        <v>-9.6300000000000008</v>
      </c>
      <c r="G90">
        <v>9.49</v>
      </c>
      <c r="H90" s="46">
        <v>1283086</v>
      </c>
      <c r="I90" s="46">
        <v>1368898</v>
      </c>
      <c r="J90">
        <v>-6.26</v>
      </c>
      <c r="K90" s="242">
        <v>0</v>
      </c>
    </row>
    <row r="91" spans="1:11" customFormat="1" hidden="1">
      <c r="A91">
        <v>8067</v>
      </c>
      <c r="B91" t="s">
        <v>2059</v>
      </c>
      <c r="C91" s="46">
        <v>43904</v>
      </c>
      <c r="D91" s="46">
        <v>50679</v>
      </c>
      <c r="E91" s="46">
        <v>52735</v>
      </c>
      <c r="F91">
        <v>-13.36</v>
      </c>
      <c r="G91">
        <v>-16.739999999999998</v>
      </c>
      <c r="H91" s="46">
        <v>418042</v>
      </c>
      <c r="I91" s="46">
        <v>588931</v>
      </c>
      <c r="J91">
        <v>-29.01</v>
      </c>
      <c r="K91">
        <v>1</v>
      </c>
    </row>
    <row r="92" spans="1:11" customFormat="1" hidden="1">
      <c r="A92">
        <v>8066</v>
      </c>
      <c r="B92" t="s">
        <v>1791</v>
      </c>
      <c r="C92" s="46">
        <v>1937922</v>
      </c>
      <c r="D92" s="46">
        <v>471811</v>
      </c>
      <c r="E92" s="46">
        <v>1285347</v>
      </c>
      <c r="F92">
        <v>310.74</v>
      </c>
      <c r="G92">
        <v>50.77</v>
      </c>
      <c r="H92" s="46">
        <v>6349221</v>
      </c>
      <c r="I92" s="46">
        <v>5543912</v>
      </c>
      <c r="J92">
        <v>14.52</v>
      </c>
      <c r="K92">
        <v>1</v>
      </c>
    </row>
    <row r="93" spans="1:11" customFormat="1" hidden="1">
      <c r="A93">
        <v>8064</v>
      </c>
      <c r="B93" t="s">
        <v>503</v>
      </c>
      <c r="C93" s="46">
        <v>238524</v>
      </c>
      <c r="D93" s="46">
        <v>303643</v>
      </c>
      <c r="E93" s="46">
        <v>320439</v>
      </c>
      <c r="F93">
        <v>-21.44</v>
      </c>
      <c r="G93">
        <v>-25.56</v>
      </c>
      <c r="H93" s="46">
        <v>2451689</v>
      </c>
      <c r="I93" s="46">
        <v>3143212</v>
      </c>
      <c r="J93">
        <v>-22</v>
      </c>
      <c r="K93">
        <v>0</v>
      </c>
    </row>
    <row r="94" spans="1:11" customFormat="1" hidden="1">
      <c r="A94">
        <v>8059</v>
      </c>
      <c r="B94" t="s">
        <v>2017</v>
      </c>
      <c r="C94" s="46">
        <v>42047</v>
      </c>
      <c r="D94" s="46">
        <v>44796</v>
      </c>
      <c r="E94" s="46">
        <v>166718</v>
      </c>
      <c r="F94">
        <v>-6.13</v>
      </c>
      <c r="G94">
        <v>-74.77</v>
      </c>
      <c r="H94" s="46">
        <v>1539133</v>
      </c>
      <c r="I94" s="46">
        <v>1848204</v>
      </c>
      <c r="J94">
        <v>-16.72</v>
      </c>
      <c r="K94">
        <v>0</v>
      </c>
    </row>
    <row r="95" spans="1:11" customFormat="1" hidden="1">
      <c r="A95">
        <v>8054</v>
      </c>
      <c r="B95" t="s">
        <v>502</v>
      </c>
      <c r="C95" s="46">
        <v>190170</v>
      </c>
      <c r="D95" s="46">
        <v>186988</v>
      </c>
      <c r="E95" s="46">
        <v>248886</v>
      </c>
      <c r="F95">
        <v>1.7</v>
      </c>
      <c r="G95">
        <v>-23.59</v>
      </c>
      <c r="H95" s="46">
        <v>1894147</v>
      </c>
      <c r="I95" s="46">
        <v>2254224</v>
      </c>
      <c r="J95">
        <v>-15.97</v>
      </c>
      <c r="K95">
        <v>0</v>
      </c>
    </row>
    <row r="96" spans="1:11" customFormat="1" hidden="1">
      <c r="A96">
        <v>8053</v>
      </c>
      <c r="B96" t="s">
        <v>2006</v>
      </c>
      <c r="C96" s="46">
        <v>278193</v>
      </c>
      <c r="D96" s="46">
        <v>300645</v>
      </c>
      <c r="E96" s="46">
        <v>420657</v>
      </c>
      <c r="F96">
        <v>-7.46</v>
      </c>
      <c r="G96">
        <v>-33.86</v>
      </c>
      <c r="H96" s="46">
        <v>3050803</v>
      </c>
      <c r="I96" s="46">
        <v>3708630</v>
      </c>
      <c r="J96">
        <v>-17.73</v>
      </c>
      <c r="K96">
        <v>0</v>
      </c>
    </row>
    <row r="97" spans="1:11" customFormat="1" hidden="1">
      <c r="A97">
        <v>8050</v>
      </c>
      <c r="B97" t="s">
        <v>2162</v>
      </c>
      <c r="C97" s="46">
        <v>312048</v>
      </c>
      <c r="D97" s="46">
        <v>317029</v>
      </c>
      <c r="E97" s="46">
        <v>303625</v>
      </c>
      <c r="F97">
        <v>-1.57</v>
      </c>
      <c r="G97">
        <v>2.77</v>
      </c>
      <c r="H97" s="46">
        <v>3552075</v>
      </c>
      <c r="I97" s="46">
        <v>3093242</v>
      </c>
      <c r="J97">
        <v>14.83</v>
      </c>
      <c r="K97">
        <v>0</v>
      </c>
    </row>
    <row r="98" spans="1:11" customFormat="1" hidden="1">
      <c r="A98">
        <v>8049</v>
      </c>
      <c r="B98" t="s">
        <v>2175</v>
      </c>
      <c r="C98" s="46">
        <v>117682</v>
      </c>
      <c r="D98" s="46">
        <v>147412</v>
      </c>
      <c r="E98" s="46">
        <v>111172</v>
      </c>
      <c r="F98">
        <v>-20.16</v>
      </c>
      <c r="G98">
        <v>5.85</v>
      </c>
      <c r="H98" s="46">
        <v>1247170</v>
      </c>
      <c r="I98" s="46">
        <v>1130500</v>
      </c>
      <c r="J98">
        <v>10.32</v>
      </c>
      <c r="K98">
        <v>0</v>
      </c>
    </row>
    <row r="99" spans="1:11" customFormat="1" hidden="1">
      <c r="A99">
        <v>8048</v>
      </c>
      <c r="B99" t="s">
        <v>2186</v>
      </c>
      <c r="C99" s="46">
        <v>105967</v>
      </c>
      <c r="D99" s="46">
        <v>135689</v>
      </c>
      <c r="E99" s="46">
        <v>96542</v>
      </c>
      <c r="F99">
        <v>-21.9</v>
      </c>
      <c r="G99">
        <v>9.76</v>
      </c>
      <c r="H99" s="46">
        <v>1353129</v>
      </c>
      <c r="I99" s="46">
        <v>861906</v>
      </c>
      <c r="J99">
        <v>56.99</v>
      </c>
      <c r="K99">
        <v>0</v>
      </c>
    </row>
    <row r="100" spans="1:11" customFormat="1" hidden="1">
      <c r="A100">
        <v>8047</v>
      </c>
      <c r="B100" t="s">
        <v>2110</v>
      </c>
      <c r="C100" s="46">
        <v>63929</v>
      </c>
      <c r="D100" s="46">
        <v>77831</v>
      </c>
      <c r="E100" s="46">
        <v>78629</v>
      </c>
      <c r="F100">
        <v>-17.86</v>
      </c>
      <c r="G100">
        <v>-18.690000000000001</v>
      </c>
      <c r="H100" s="46">
        <v>671506</v>
      </c>
      <c r="I100" s="46">
        <v>690578</v>
      </c>
      <c r="J100">
        <v>-2.76</v>
      </c>
      <c r="K100" s="242">
        <v>0</v>
      </c>
    </row>
    <row r="101" spans="1:11" customFormat="1" hidden="1">
      <c r="A101">
        <v>8044</v>
      </c>
      <c r="B101" t="s">
        <v>2224</v>
      </c>
      <c r="C101" s="46">
        <v>1848570</v>
      </c>
      <c r="D101" s="46">
        <v>1831064</v>
      </c>
      <c r="E101" s="46">
        <v>1663056</v>
      </c>
      <c r="F101">
        <v>0.95</v>
      </c>
      <c r="G101">
        <v>11.15</v>
      </c>
      <c r="H101" s="46">
        <v>18764935</v>
      </c>
      <c r="I101" s="46">
        <v>16265113</v>
      </c>
      <c r="J101">
        <v>15.36</v>
      </c>
      <c r="K101" s="242">
        <v>0</v>
      </c>
    </row>
    <row r="102" spans="1:11" customFormat="1" hidden="1">
      <c r="A102">
        <v>8043</v>
      </c>
      <c r="B102" t="s">
        <v>2051</v>
      </c>
      <c r="C102" s="46">
        <v>553616</v>
      </c>
      <c r="D102" s="46">
        <v>700086</v>
      </c>
      <c r="E102" s="46">
        <v>516631</v>
      </c>
      <c r="F102">
        <v>-20.92</v>
      </c>
      <c r="G102">
        <v>7.15</v>
      </c>
      <c r="H102" s="46">
        <v>4230884</v>
      </c>
      <c r="I102" s="46">
        <v>3669089</v>
      </c>
      <c r="J102">
        <v>15.31</v>
      </c>
      <c r="K102">
        <v>1</v>
      </c>
    </row>
    <row r="103" spans="1:11" customFormat="1" hidden="1">
      <c r="A103">
        <v>8042</v>
      </c>
      <c r="B103" t="s">
        <v>1782</v>
      </c>
      <c r="C103" s="46">
        <v>280050</v>
      </c>
      <c r="D103" s="46">
        <v>301949</v>
      </c>
      <c r="E103" s="46">
        <v>240212</v>
      </c>
      <c r="F103">
        <v>-7.25</v>
      </c>
      <c r="G103">
        <v>16.579999999999998</v>
      </c>
      <c r="H103" s="46">
        <v>2591616</v>
      </c>
      <c r="I103" s="46">
        <v>2669929</v>
      </c>
      <c r="J103">
        <v>-2.93</v>
      </c>
      <c r="K103">
        <v>1</v>
      </c>
    </row>
    <row r="104" spans="1:11" customFormat="1" hidden="1">
      <c r="A104">
        <v>8040</v>
      </c>
      <c r="B104" t="s">
        <v>1988</v>
      </c>
      <c r="C104" s="46">
        <v>71556</v>
      </c>
      <c r="D104" s="46">
        <v>58561</v>
      </c>
      <c r="E104" s="46">
        <v>58445</v>
      </c>
      <c r="F104">
        <v>22.19</v>
      </c>
      <c r="G104">
        <v>22.43</v>
      </c>
      <c r="H104" s="46">
        <v>583670</v>
      </c>
      <c r="I104" s="46">
        <v>549697</v>
      </c>
      <c r="J104">
        <v>6.18</v>
      </c>
      <c r="K104">
        <v>1</v>
      </c>
    </row>
    <row r="105" spans="1:11" customFormat="1" hidden="1">
      <c r="A105">
        <v>8038</v>
      </c>
      <c r="B105" t="s">
        <v>501</v>
      </c>
      <c r="C105" s="46">
        <v>4675</v>
      </c>
      <c r="D105" s="46">
        <v>2762</v>
      </c>
      <c r="E105" s="46">
        <v>11285</v>
      </c>
      <c r="F105">
        <v>69.260000000000005</v>
      </c>
      <c r="G105">
        <v>-58.57</v>
      </c>
      <c r="H105" s="46">
        <v>49039</v>
      </c>
      <c r="I105" s="46">
        <v>81778</v>
      </c>
      <c r="J105">
        <v>-40.03</v>
      </c>
      <c r="K105">
        <v>0</v>
      </c>
    </row>
    <row r="106" spans="1:11" customFormat="1" hidden="1">
      <c r="A106">
        <v>8034</v>
      </c>
      <c r="B106" t="s">
        <v>2185</v>
      </c>
      <c r="C106" s="46">
        <v>11558</v>
      </c>
      <c r="D106" s="46">
        <v>16113</v>
      </c>
      <c r="E106" s="46">
        <v>24980</v>
      </c>
      <c r="F106">
        <v>-28.26</v>
      </c>
      <c r="G106">
        <v>-53.73</v>
      </c>
      <c r="H106" s="46">
        <v>163007</v>
      </c>
      <c r="I106" s="46">
        <v>173853</v>
      </c>
      <c r="J106">
        <v>-6.23</v>
      </c>
      <c r="K106">
        <v>0</v>
      </c>
    </row>
    <row r="107" spans="1:11" customFormat="1" hidden="1">
      <c r="A107">
        <v>8032</v>
      </c>
      <c r="B107" t="s">
        <v>2058</v>
      </c>
      <c r="C107" s="46">
        <v>409649</v>
      </c>
      <c r="D107" s="46">
        <v>442444</v>
      </c>
      <c r="E107" s="46">
        <v>351330</v>
      </c>
      <c r="F107">
        <v>-7.41</v>
      </c>
      <c r="G107">
        <v>16.59</v>
      </c>
      <c r="H107" s="46">
        <v>3541311</v>
      </c>
      <c r="I107" s="46">
        <v>3669666</v>
      </c>
      <c r="J107">
        <v>-3.49</v>
      </c>
      <c r="K107">
        <v>1</v>
      </c>
    </row>
    <row r="108" spans="1:11" customFormat="1" hidden="1">
      <c r="A108">
        <v>8027</v>
      </c>
      <c r="B108" t="s">
        <v>1940</v>
      </c>
      <c r="C108" s="46">
        <v>74535</v>
      </c>
      <c r="D108" s="46">
        <v>121601</v>
      </c>
      <c r="E108" s="46">
        <v>176996</v>
      </c>
      <c r="F108">
        <v>-38.700000000000003</v>
      </c>
      <c r="G108">
        <v>-57.88</v>
      </c>
      <c r="H108" s="46">
        <v>1278491</v>
      </c>
      <c r="I108" s="46">
        <v>1619412</v>
      </c>
      <c r="J108">
        <v>-21.05</v>
      </c>
      <c r="K108">
        <v>0</v>
      </c>
    </row>
    <row r="109" spans="1:11" customFormat="1" hidden="1">
      <c r="A109">
        <v>8024</v>
      </c>
      <c r="B109" t="s">
        <v>500</v>
      </c>
      <c r="C109" s="46">
        <v>49202</v>
      </c>
      <c r="D109" s="46">
        <v>42203</v>
      </c>
      <c r="E109" s="46">
        <v>67917</v>
      </c>
      <c r="F109">
        <v>16.579999999999998</v>
      </c>
      <c r="G109">
        <v>-27.55</v>
      </c>
      <c r="H109" s="46">
        <v>508609</v>
      </c>
      <c r="I109" s="46">
        <v>587633</v>
      </c>
      <c r="J109">
        <v>-13.44</v>
      </c>
      <c r="K109">
        <v>0</v>
      </c>
    </row>
    <row r="110" spans="1:11" customFormat="1" hidden="1">
      <c r="A110">
        <v>6803</v>
      </c>
      <c r="B110" t="s">
        <v>2246</v>
      </c>
      <c r="C110" s="46">
        <v>341432</v>
      </c>
      <c r="D110" s="46">
        <v>344315</v>
      </c>
      <c r="E110" s="46">
        <v>325969</v>
      </c>
      <c r="F110">
        <v>-0.83</v>
      </c>
      <c r="G110">
        <v>4.74</v>
      </c>
      <c r="H110" s="46">
        <v>3400323</v>
      </c>
      <c r="I110" s="46">
        <v>3271498</v>
      </c>
      <c r="J110">
        <v>3.93</v>
      </c>
      <c r="K110">
        <v>0</v>
      </c>
    </row>
    <row r="111" spans="1:11" customFormat="1" hidden="1">
      <c r="A111">
        <v>6609</v>
      </c>
      <c r="B111" t="s">
        <v>499</v>
      </c>
      <c r="C111" s="46">
        <v>245765</v>
      </c>
      <c r="D111" s="46">
        <v>181569</v>
      </c>
      <c r="E111" s="46">
        <v>240492</v>
      </c>
      <c r="F111">
        <v>35.35</v>
      </c>
      <c r="G111">
        <v>2.19</v>
      </c>
      <c r="H111" s="46">
        <v>2310356</v>
      </c>
      <c r="I111" s="46">
        <v>2697334</v>
      </c>
      <c r="J111">
        <v>-14.34</v>
      </c>
      <c r="K111">
        <v>1</v>
      </c>
    </row>
    <row r="112" spans="1:11" customFormat="1" hidden="1">
      <c r="A112">
        <v>6603</v>
      </c>
      <c r="B112" t="s">
        <v>498</v>
      </c>
      <c r="C112" s="46">
        <v>245700</v>
      </c>
      <c r="D112" s="46">
        <v>228346</v>
      </c>
      <c r="E112" s="46">
        <v>384000</v>
      </c>
      <c r="F112">
        <v>7.59</v>
      </c>
      <c r="G112">
        <v>-36.01</v>
      </c>
      <c r="H112" s="46">
        <v>2352223</v>
      </c>
      <c r="I112" s="46">
        <v>2458509</v>
      </c>
      <c r="J112">
        <v>-4.32</v>
      </c>
      <c r="K112">
        <v>0</v>
      </c>
    </row>
    <row r="113" spans="1:11" customFormat="1" hidden="1">
      <c r="A113">
        <v>6509</v>
      </c>
      <c r="B113" t="s">
        <v>497</v>
      </c>
      <c r="C113" s="46">
        <v>279294</v>
      </c>
      <c r="D113" s="46">
        <v>239216</v>
      </c>
      <c r="E113" s="46">
        <v>291274</v>
      </c>
      <c r="F113">
        <v>16.75</v>
      </c>
      <c r="G113">
        <v>-4.1100000000000003</v>
      </c>
      <c r="H113" s="46">
        <v>2597980</v>
      </c>
      <c r="I113" s="46">
        <v>2800045</v>
      </c>
      <c r="J113">
        <v>-7.21</v>
      </c>
      <c r="K113">
        <v>1</v>
      </c>
    </row>
    <row r="114" spans="1:11" customFormat="1" hidden="1">
      <c r="A114">
        <v>6508</v>
      </c>
      <c r="B114" t="s">
        <v>496</v>
      </c>
      <c r="C114" s="46">
        <v>180920</v>
      </c>
      <c r="D114" s="46">
        <v>150158</v>
      </c>
      <c r="E114" s="46">
        <v>213489</v>
      </c>
      <c r="F114">
        <v>20.48</v>
      </c>
      <c r="G114">
        <v>-15.25</v>
      </c>
      <c r="H114" s="46">
        <v>2072344</v>
      </c>
      <c r="I114" s="46">
        <v>2335287</v>
      </c>
      <c r="J114">
        <v>-11.25</v>
      </c>
      <c r="K114">
        <v>0</v>
      </c>
    </row>
    <row r="115" spans="1:11" customFormat="1" hidden="1">
      <c r="A115">
        <v>6506</v>
      </c>
      <c r="B115" t="s">
        <v>2129</v>
      </c>
      <c r="C115" s="46">
        <v>135365</v>
      </c>
      <c r="D115" s="46">
        <v>140106</v>
      </c>
      <c r="E115" s="46">
        <v>134259</v>
      </c>
      <c r="F115">
        <v>-3.38</v>
      </c>
      <c r="G115">
        <v>0.82</v>
      </c>
      <c r="H115" s="46">
        <v>1669625</v>
      </c>
      <c r="I115" s="46">
        <v>1683065</v>
      </c>
      <c r="J115">
        <v>-0.79</v>
      </c>
      <c r="K115">
        <v>0</v>
      </c>
    </row>
    <row r="116" spans="1:11" customFormat="1" hidden="1">
      <c r="A116">
        <v>6488</v>
      </c>
      <c r="B116" t="s">
        <v>1987</v>
      </c>
      <c r="C116" s="46">
        <v>1174036</v>
      </c>
      <c r="D116" s="46">
        <v>1277603</v>
      </c>
      <c r="E116" s="46">
        <v>1303010</v>
      </c>
      <c r="F116">
        <v>-8.1</v>
      </c>
      <c r="G116">
        <v>-9.89</v>
      </c>
      <c r="H116" s="46">
        <v>12965745</v>
      </c>
      <c r="I116" s="46">
        <v>13277179</v>
      </c>
      <c r="J116" s="233">
        <v>-2.34</v>
      </c>
      <c r="K116">
        <v>0</v>
      </c>
    </row>
    <row r="117" spans="1:11" customFormat="1" hidden="1">
      <c r="A117">
        <v>6485</v>
      </c>
      <c r="B117" t="s">
        <v>2279</v>
      </c>
      <c r="C117" s="46">
        <v>105521</v>
      </c>
      <c r="D117" s="46">
        <v>104555</v>
      </c>
      <c r="E117" s="46">
        <v>110599</v>
      </c>
      <c r="F117">
        <v>0.92</v>
      </c>
      <c r="G117">
        <v>-4.59</v>
      </c>
      <c r="H117" s="46">
        <v>898183</v>
      </c>
      <c r="I117" s="46">
        <v>1211399</v>
      </c>
      <c r="J117">
        <v>-25.85</v>
      </c>
      <c r="K117">
        <v>1</v>
      </c>
    </row>
    <row r="118" spans="1:11" customFormat="1" hidden="1">
      <c r="A118">
        <v>6470</v>
      </c>
      <c r="B118" t="s">
        <v>1922</v>
      </c>
      <c r="C118" s="46">
        <v>157138</v>
      </c>
      <c r="D118" s="46">
        <v>162257</v>
      </c>
      <c r="E118" s="46">
        <v>201062</v>
      </c>
      <c r="F118">
        <v>-3.15</v>
      </c>
      <c r="G118">
        <v>-21.84</v>
      </c>
      <c r="H118" s="46">
        <v>1590532</v>
      </c>
      <c r="I118" s="46">
        <v>1211639</v>
      </c>
      <c r="J118">
        <v>31.27</v>
      </c>
      <c r="K118">
        <v>0</v>
      </c>
    </row>
    <row r="119" spans="1:11" customFormat="1">
      <c r="A119" s="62" t="str">
        <f>HYPERLINK("http://tw.stock.yahoo.com/q/ta?s=8096","8096")</f>
        <v>8096</v>
      </c>
      <c r="B119" s="62" t="str">
        <f>HYPERLINK("http://tw.stock.yahoo.com/d/s/earning_8096.html","擎亞科技")</f>
        <v>擎亞科技</v>
      </c>
      <c r="C119" s="46">
        <v>5532942</v>
      </c>
      <c r="D119" s="46">
        <v>5163976</v>
      </c>
      <c r="E119" s="46">
        <v>1623437</v>
      </c>
      <c r="F119">
        <v>7.14</v>
      </c>
      <c r="G119">
        <v>240.81</v>
      </c>
      <c r="H119" s="46">
        <v>33597343</v>
      </c>
      <c r="I119" s="46">
        <v>11580475</v>
      </c>
      <c r="J119">
        <v>190.12</v>
      </c>
      <c r="K119">
        <v>1</v>
      </c>
    </row>
    <row r="120" spans="1:11" customFormat="1" hidden="1">
      <c r="A120">
        <v>6457</v>
      </c>
      <c r="B120" t="s">
        <v>1986</v>
      </c>
      <c r="C120" s="46">
        <v>49724</v>
      </c>
      <c r="D120" s="46">
        <v>46336</v>
      </c>
      <c r="E120" s="46">
        <v>41008</v>
      </c>
      <c r="F120">
        <v>7.31</v>
      </c>
      <c r="G120">
        <v>21.25</v>
      </c>
      <c r="H120" s="46">
        <v>451839</v>
      </c>
      <c r="I120" s="46">
        <v>383861</v>
      </c>
      <c r="J120">
        <v>17.7</v>
      </c>
      <c r="K120" s="242">
        <v>1</v>
      </c>
    </row>
    <row r="121" spans="1:11" customFormat="1" hidden="1">
      <c r="A121">
        <v>6432</v>
      </c>
      <c r="B121" t="s">
        <v>2050</v>
      </c>
      <c r="C121" s="46">
        <v>77573</v>
      </c>
      <c r="D121" s="46">
        <v>93478</v>
      </c>
      <c r="E121" s="46">
        <v>79540</v>
      </c>
      <c r="F121">
        <v>-17.010000000000002</v>
      </c>
      <c r="G121">
        <v>-2.4700000000000002</v>
      </c>
      <c r="H121" s="46">
        <v>808223</v>
      </c>
      <c r="I121" s="46">
        <v>733849</v>
      </c>
      <c r="J121">
        <v>10.130000000000001</v>
      </c>
      <c r="K121">
        <v>0</v>
      </c>
    </row>
    <row r="122" spans="1:11" customFormat="1" hidden="1">
      <c r="A122">
        <v>6426</v>
      </c>
      <c r="B122" t="s">
        <v>495</v>
      </c>
      <c r="C122" s="46">
        <v>40028</v>
      </c>
      <c r="D122" s="46">
        <v>35945</v>
      </c>
      <c r="E122" s="46">
        <v>36065</v>
      </c>
      <c r="F122">
        <v>11.35</v>
      </c>
      <c r="G122">
        <v>10.98</v>
      </c>
      <c r="H122" s="46">
        <v>430724</v>
      </c>
      <c r="I122" s="46">
        <v>419801</v>
      </c>
      <c r="J122">
        <v>2.6</v>
      </c>
      <c r="K122">
        <v>0</v>
      </c>
    </row>
    <row r="123" spans="1:11" customFormat="1" hidden="1">
      <c r="A123">
        <v>6419</v>
      </c>
      <c r="B123" t="s">
        <v>1772</v>
      </c>
      <c r="C123" s="46">
        <v>43758</v>
      </c>
      <c r="D123" s="46">
        <v>35410</v>
      </c>
      <c r="E123" s="46">
        <v>48027</v>
      </c>
      <c r="F123">
        <v>23.57</v>
      </c>
      <c r="G123">
        <v>-8.8800000000000008</v>
      </c>
      <c r="H123" s="46">
        <v>352617</v>
      </c>
      <c r="I123" s="46">
        <v>427357</v>
      </c>
      <c r="J123">
        <v>-17.48</v>
      </c>
      <c r="K123">
        <v>1</v>
      </c>
    </row>
    <row r="124" spans="1:11" customFormat="1" hidden="1">
      <c r="A124">
        <v>6417</v>
      </c>
      <c r="B124" t="s">
        <v>540</v>
      </c>
      <c r="C124" s="46">
        <v>75635</v>
      </c>
      <c r="D124" s="46">
        <v>74316</v>
      </c>
      <c r="E124" s="46">
        <v>60792</v>
      </c>
      <c r="F124">
        <v>1.77</v>
      </c>
      <c r="G124">
        <v>24.41</v>
      </c>
      <c r="H124" s="46">
        <v>814059</v>
      </c>
      <c r="I124" s="46">
        <v>592433</v>
      </c>
      <c r="J124">
        <v>37.4</v>
      </c>
      <c r="K124">
        <v>0</v>
      </c>
    </row>
    <row r="125" spans="1:11" customFormat="1" hidden="1">
      <c r="A125">
        <v>6411</v>
      </c>
      <c r="B125" t="s">
        <v>494</v>
      </c>
      <c r="C125" s="46">
        <v>185125</v>
      </c>
      <c r="D125" s="46">
        <v>181665</v>
      </c>
      <c r="E125" s="46">
        <v>157916</v>
      </c>
      <c r="F125">
        <v>1.9</v>
      </c>
      <c r="G125">
        <v>17.23</v>
      </c>
      <c r="H125" s="46">
        <v>1628012</v>
      </c>
      <c r="I125" s="46">
        <v>1359636</v>
      </c>
      <c r="J125">
        <v>19.73</v>
      </c>
      <c r="K125" s="242">
        <v>1</v>
      </c>
    </row>
    <row r="126" spans="1:11" customFormat="1" hidden="1">
      <c r="A126">
        <v>6298</v>
      </c>
      <c r="B126" t="s">
        <v>2161</v>
      </c>
      <c r="C126" s="46">
        <v>513108</v>
      </c>
      <c r="D126" s="46">
        <v>467500</v>
      </c>
      <c r="E126" s="46">
        <v>478018</v>
      </c>
      <c r="F126">
        <v>9.75</v>
      </c>
      <c r="G126">
        <v>7.34</v>
      </c>
      <c r="H126" s="46">
        <v>4506143</v>
      </c>
      <c r="I126" s="46">
        <v>4484902</v>
      </c>
      <c r="J126">
        <v>0.47</v>
      </c>
      <c r="K126">
        <v>1</v>
      </c>
    </row>
    <row r="127" spans="1:11" customFormat="1" hidden="1">
      <c r="A127">
        <v>6294</v>
      </c>
      <c r="B127" t="s">
        <v>2245</v>
      </c>
      <c r="C127" s="46">
        <v>53102</v>
      </c>
      <c r="D127" s="46">
        <v>47960</v>
      </c>
      <c r="E127" s="46">
        <v>37534</v>
      </c>
      <c r="F127">
        <v>10.72</v>
      </c>
      <c r="G127">
        <v>41.47</v>
      </c>
      <c r="H127" s="46">
        <v>569075</v>
      </c>
      <c r="I127" s="46">
        <v>320276</v>
      </c>
      <c r="J127">
        <v>77.680000000000007</v>
      </c>
      <c r="K127">
        <v>0</v>
      </c>
    </row>
    <row r="128" spans="1:11" customFormat="1" hidden="1">
      <c r="A128">
        <v>6292</v>
      </c>
      <c r="B128" t="s">
        <v>2108</v>
      </c>
      <c r="C128" s="46">
        <v>120032</v>
      </c>
      <c r="D128" s="46">
        <v>129167</v>
      </c>
      <c r="E128" s="46">
        <v>104865</v>
      </c>
      <c r="F128">
        <v>-7.07</v>
      </c>
      <c r="G128">
        <v>14.46</v>
      </c>
      <c r="H128" s="46">
        <v>1169727</v>
      </c>
      <c r="I128" s="46">
        <v>1176517</v>
      </c>
      <c r="J128">
        <v>-0.56999999999999995</v>
      </c>
      <c r="K128">
        <v>0</v>
      </c>
    </row>
    <row r="129" spans="1:11" customFormat="1" hidden="1">
      <c r="A129">
        <v>6291</v>
      </c>
      <c r="B129" t="s">
        <v>493</v>
      </c>
      <c r="C129" s="46">
        <v>19363</v>
      </c>
      <c r="D129" s="46">
        <v>18120</v>
      </c>
      <c r="E129" s="46">
        <v>24272</v>
      </c>
      <c r="F129">
        <v>6.85</v>
      </c>
      <c r="G129">
        <v>-20.22</v>
      </c>
      <c r="H129" s="46">
        <v>206686</v>
      </c>
      <c r="I129" s="46">
        <v>253778</v>
      </c>
      <c r="J129">
        <v>-18.55</v>
      </c>
      <c r="K129">
        <v>0</v>
      </c>
    </row>
    <row r="130" spans="1:11" customFormat="1" hidden="1">
      <c r="A130">
        <v>6290</v>
      </c>
      <c r="B130" t="s">
        <v>2049</v>
      </c>
      <c r="C130" s="46">
        <v>754962</v>
      </c>
      <c r="D130" s="46">
        <v>723145</v>
      </c>
      <c r="E130" s="46">
        <v>640033</v>
      </c>
      <c r="F130">
        <v>4.3899999999999997</v>
      </c>
      <c r="G130">
        <v>17.95</v>
      </c>
      <c r="H130" s="46">
        <v>5940515</v>
      </c>
      <c r="I130" s="46">
        <v>6071675</v>
      </c>
      <c r="J130">
        <v>-2.16</v>
      </c>
      <c r="K130">
        <v>1</v>
      </c>
    </row>
    <row r="131" spans="1:11" customFormat="1" hidden="1">
      <c r="A131">
        <v>6287</v>
      </c>
      <c r="B131" t="s">
        <v>1985</v>
      </c>
      <c r="C131" s="46">
        <v>86695</v>
      </c>
      <c r="D131" s="46">
        <v>76837</v>
      </c>
      <c r="E131" s="46">
        <v>77074</v>
      </c>
      <c r="F131">
        <v>12.82</v>
      </c>
      <c r="G131">
        <v>12.48</v>
      </c>
      <c r="H131" s="46">
        <v>700837</v>
      </c>
      <c r="I131" s="46">
        <v>598137</v>
      </c>
      <c r="J131">
        <v>17.16</v>
      </c>
      <c r="K131">
        <v>1</v>
      </c>
    </row>
    <row r="132" spans="1:11" customFormat="1" hidden="1">
      <c r="A132">
        <v>6284</v>
      </c>
      <c r="B132" t="s">
        <v>2048</v>
      </c>
      <c r="C132" s="46">
        <v>315787</v>
      </c>
      <c r="D132" s="46">
        <v>358852</v>
      </c>
      <c r="E132" s="46">
        <v>326050</v>
      </c>
      <c r="F132">
        <v>-12</v>
      </c>
      <c r="G132">
        <v>-3.14</v>
      </c>
      <c r="H132" s="46">
        <v>2856883</v>
      </c>
      <c r="I132" s="46">
        <v>2764528</v>
      </c>
      <c r="J132">
        <v>3.34</v>
      </c>
      <c r="K132">
        <v>1</v>
      </c>
    </row>
    <row r="133" spans="1:11" customFormat="1" hidden="1">
      <c r="A133">
        <v>6279</v>
      </c>
      <c r="B133" t="s">
        <v>1764</v>
      </c>
      <c r="C133" s="46">
        <v>286142</v>
      </c>
      <c r="D133" s="46">
        <v>261954</v>
      </c>
      <c r="E133" s="46">
        <v>298965</v>
      </c>
      <c r="F133">
        <v>9.23</v>
      </c>
      <c r="G133">
        <v>-4.28</v>
      </c>
      <c r="H133" s="46">
        <v>2714195</v>
      </c>
      <c r="I133" s="46">
        <v>2595262</v>
      </c>
      <c r="J133" s="233">
        <v>4.58</v>
      </c>
      <c r="K133" s="242">
        <v>1</v>
      </c>
    </row>
    <row r="134" spans="1:11" customFormat="1" hidden="1">
      <c r="A134">
        <v>6276</v>
      </c>
      <c r="B134" t="s">
        <v>492</v>
      </c>
      <c r="C134" s="46">
        <v>93350</v>
      </c>
      <c r="D134" s="46">
        <v>94702</v>
      </c>
      <c r="E134" s="46">
        <v>101338</v>
      </c>
      <c r="F134">
        <v>-1.42</v>
      </c>
      <c r="G134">
        <v>-7.88</v>
      </c>
      <c r="H134" s="46">
        <v>1095936</v>
      </c>
      <c r="I134" s="46">
        <v>1268374</v>
      </c>
      <c r="J134" s="233">
        <v>-13.59</v>
      </c>
      <c r="K134">
        <v>0</v>
      </c>
    </row>
    <row r="135" spans="1:11" customFormat="1" hidden="1">
      <c r="A135">
        <v>6275</v>
      </c>
      <c r="B135" t="s">
        <v>2233</v>
      </c>
      <c r="C135" s="46">
        <v>130867</v>
      </c>
      <c r="D135" s="46">
        <v>160481</v>
      </c>
      <c r="E135" s="46">
        <v>163458</v>
      </c>
      <c r="F135">
        <v>-18.45</v>
      </c>
      <c r="G135">
        <v>-19.93</v>
      </c>
      <c r="H135" s="46">
        <v>1701537</v>
      </c>
      <c r="I135" s="46">
        <v>1827804</v>
      </c>
      <c r="J135">
        <v>-6.9</v>
      </c>
      <c r="K135" s="242">
        <v>0</v>
      </c>
    </row>
    <row r="136" spans="1:11" customFormat="1" hidden="1">
      <c r="A136">
        <v>6274</v>
      </c>
      <c r="B136" t="s">
        <v>491</v>
      </c>
      <c r="C136" s="46">
        <v>1054928</v>
      </c>
      <c r="D136" s="46">
        <v>1175102</v>
      </c>
      <c r="E136" s="46">
        <v>1204861</v>
      </c>
      <c r="F136">
        <v>-10.220000000000001</v>
      </c>
      <c r="G136">
        <v>-12.44</v>
      </c>
      <c r="H136" s="46">
        <v>10730967</v>
      </c>
      <c r="I136" s="46">
        <v>11144259</v>
      </c>
      <c r="J136">
        <v>-3.7</v>
      </c>
      <c r="K136" s="242">
        <v>0</v>
      </c>
    </row>
    <row r="137" spans="1:11" customFormat="1" hidden="1">
      <c r="A137">
        <v>6270</v>
      </c>
      <c r="B137" t="s">
        <v>2057</v>
      </c>
      <c r="C137" s="46">
        <v>202520</v>
      </c>
      <c r="D137" s="46">
        <v>177348</v>
      </c>
      <c r="E137" s="46">
        <v>216281</v>
      </c>
      <c r="F137">
        <v>14.19</v>
      </c>
      <c r="G137">
        <v>-6.36</v>
      </c>
      <c r="H137" s="46">
        <v>1873245</v>
      </c>
      <c r="I137" s="46">
        <v>1942352</v>
      </c>
      <c r="J137">
        <v>-3.55</v>
      </c>
      <c r="K137">
        <v>1</v>
      </c>
    </row>
    <row r="138" spans="1:11" customFormat="1" hidden="1">
      <c r="A138">
        <v>6266</v>
      </c>
      <c r="B138" t="s">
        <v>2047</v>
      </c>
      <c r="C138" s="46">
        <v>196342</v>
      </c>
      <c r="D138" s="46">
        <v>161164</v>
      </c>
      <c r="E138" s="46">
        <v>167053</v>
      </c>
      <c r="F138">
        <v>21.82</v>
      </c>
      <c r="G138">
        <v>17.53</v>
      </c>
      <c r="H138" s="46">
        <v>1736265</v>
      </c>
      <c r="I138" s="46">
        <v>1621279</v>
      </c>
      <c r="J138">
        <v>7.09</v>
      </c>
      <c r="K138">
        <v>1</v>
      </c>
    </row>
    <row r="139" spans="1:11" customFormat="1" hidden="1">
      <c r="A139">
        <v>6265</v>
      </c>
      <c r="B139" t="s">
        <v>490</v>
      </c>
      <c r="C139" s="46">
        <v>796697</v>
      </c>
      <c r="D139" s="46">
        <v>658368</v>
      </c>
      <c r="E139" s="46">
        <v>1157276</v>
      </c>
      <c r="F139">
        <v>21.01</v>
      </c>
      <c r="G139">
        <v>-31.15</v>
      </c>
      <c r="H139" s="46">
        <v>7382867</v>
      </c>
      <c r="I139" s="46">
        <v>10657038</v>
      </c>
      <c r="J139">
        <v>-30.72</v>
      </c>
      <c r="K139">
        <v>1</v>
      </c>
    </row>
    <row r="140" spans="1:11" customFormat="1" hidden="1">
      <c r="A140">
        <v>6264</v>
      </c>
      <c r="B140" t="s">
        <v>489</v>
      </c>
      <c r="C140" s="46">
        <v>4256</v>
      </c>
      <c r="D140" s="46">
        <v>3386</v>
      </c>
      <c r="E140" s="46">
        <v>1017</v>
      </c>
      <c r="F140">
        <v>25.69</v>
      </c>
      <c r="G140">
        <v>318.48</v>
      </c>
      <c r="H140" s="46">
        <v>24757</v>
      </c>
      <c r="I140" s="46">
        <v>96381</v>
      </c>
      <c r="J140">
        <v>-74.31</v>
      </c>
      <c r="K140">
        <v>1</v>
      </c>
    </row>
    <row r="141" spans="1:11" customFormat="1" hidden="1">
      <c r="A141">
        <v>6263</v>
      </c>
      <c r="B141" t="s">
        <v>2016</v>
      </c>
      <c r="C141" s="46">
        <v>110019</v>
      </c>
      <c r="D141" s="46">
        <v>108421</v>
      </c>
      <c r="E141" s="46">
        <v>108618</v>
      </c>
      <c r="F141">
        <v>1.47</v>
      </c>
      <c r="G141">
        <v>1.28</v>
      </c>
      <c r="H141" s="46">
        <v>1055734</v>
      </c>
      <c r="I141" s="46">
        <v>1033617</v>
      </c>
      <c r="J141">
        <v>2.13</v>
      </c>
      <c r="K141">
        <v>0</v>
      </c>
    </row>
    <row r="142" spans="1:11" customFormat="1" hidden="1">
      <c r="A142">
        <v>6261</v>
      </c>
      <c r="B142" t="s">
        <v>488</v>
      </c>
      <c r="C142" s="46">
        <v>307626</v>
      </c>
      <c r="D142" s="46">
        <v>296012</v>
      </c>
      <c r="E142" s="46">
        <v>351282</v>
      </c>
      <c r="F142">
        <v>3.92</v>
      </c>
      <c r="G142">
        <v>-12.42</v>
      </c>
      <c r="H142" s="46">
        <v>3117186</v>
      </c>
      <c r="I142" s="46">
        <v>3450699</v>
      </c>
      <c r="J142">
        <v>-9.66</v>
      </c>
      <c r="K142">
        <v>0</v>
      </c>
    </row>
    <row r="143" spans="1:11" customFormat="1" hidden="1">
      <c r="A143">
        <v>6259</v>
      </c>
      <c r="B143" t="s">
        <v>487</v>
      </c>
      <c r="C143" s="46">
        <v>73604</v>
      </c>
      <c r="D143" s="46">
        <v>81933</v>
      </c>
      <c r="E143" s="46">
        <v>109139</v>
      </c>
      <c r="F143">
        <v>-10.16</v>
      </c>
      <c r="G143">
        <v>-32.549999999999997</v>
      </c>
      <c r="H143" s="46">
        <v>1039784</v>
      </c>
      <c r="I143" s="46">
        <v>1205882</v>
      </c>
      <c r="J143">
        <v>-13.77</v>
      </c>
      <c r="K143" s="242">
        <v>0</v>
      </c>
    </row>
    <row r="144" spans="1:11" customFormat="1" hidden="1">
      <c r="A144">
        <v>6250</v>
      </c>
      <c r="B144" t="s">
        <v>486</v>
      </c>
      <c r="C144" s="46">
        <v>6005</v>
      </c>
      <c r="D144" s="46">
        <v>5740</v>
      </c>
      <c r="E144" s="46">
        <v>10721</v>
      </c>
      <c r="F144">
        <v>4.6100000000000003</v>
      </c>
      <c r="G144">
        <v>-43.98</v>
      </c>
      <c r="H144" s="46">
        <v>111123</v>
      </c>
      <c r="I144" s="46">
        <v>210664</v>
      </c>
      <c r="J144">
        <v>-47.25</v>
      </c>
      <c r="K144">
        <v>0</v>
      </c>
    </row>
    <row r="145" spans="1:11" customFormat="1" hidden="1">
      <c r="A145">
        <v>6248</v>
      </c>
      <c r="B145" t="s">
        <v>485</v>
      </c>
      <c r="C145" s="46">
        <v>131741</v>
      </c>
      <c r="D145" s="46">
        <v>77156</v>
      </c>
      <c r="E145" s="46">
        <v>188785</v>
      </c>
      <c r="F145">
        <v>70.739999999999995</v>
      </c>
      <c r="G145">
        <v>-30.21</v>
      </c>
      <c r="H145" s="46">
        <v>1048669</v>
      </c>
      <c r="I145" s="46">
        <v>755936</v>
      </c>
      <c r="J145">
        <v>38.72</v>
      </c>
      <c r="K145" s="242">
        <v>1</v>
      </c>
    </row>
    <row r="146" spans="1:11" customFormat="1" hidden="1">
      <c r="A146" s="219">
        <v>6247</v>
      </c>
      <c r="B146" s="219" t="s">
        <v>1759</v>
      </c>
      <c r="C146" s="240">
        <v>95713</v>
      </c>
      <c r="D146" s="240">
        <v>189291</v>
      </c>
      <c r="E146" s="240">
        <v>129827</v>
      </c>
      <c r="F146" s="27">
        <v>-49.43</v>
      </c>
      <c r="G146" s="27">
        <v>-26.27</v>
      </c>
      <c r="H146" s="240">
        <v>1131666</v>
      </c>
      <c r="I146" s="240">
        <v>954774</v>
      </c>
      <c r="J146" s="27">
        <v>18.52</v>
      </c>
      <c r="K146" s="243">
        <v>0</v>
      </c>
    </row>
    <row r="147" spans="1:11" customFormat="1" hidden="1">
      <c r="A147">
        <v>6246</v>
      </c>
      <c r="B147" t="s">
        <v>484</v>
      </c>
      <c r="C147" s="46">
        <v>51392</v>
      </c>
      <c r="D147" s="46">
        <v>60724</v>
      </c>
      <c r="E147" s="46">
        <v>88258</v>
      </c>
      <c r="F147">
        <v>-15.36</v>
      </c>
      <c r="G147">
        <v>-41.77</v>
      </c>
      <c r="H147" s="46">
        <v>750969</v>
      </c>
      <c r="I147" s="46">
        <v>1455845</v>
      </c>
      <c r="J147">
        <v>-48.41</v>
      </c>
      <c r="K147">
        <v>0</v>
      </c>
    </row>
    <row r="148" spans="1:11" customFormat="1" hidden="1">
      <c r="A148">
        <v>6245</v>
      </c>
      <c r="B148" t="s">
        <v>2184</v>
      </c>
      <c r="C148" s="46">
        <v>415200</v>
      </c>
      <c r="D148" s="46">
        <v>507444</v>
      </c>
      <c r="E148" s="46">
        <v>359510</v>
      </c>
      <c r="F148">
        <v>-18.170000000000002</v>
      </c>
      <c r="G148">
        <v>15.49</v>
      </c>
      <c r="H148" s="46">
        <v>4252893</v>
      </c>
      <c r="I148" s="46">
        <v>3527720</v>
      </c>
      <c r="J148">
        <v>20.55</v>
      </c>
      <c r="K148">
        <v>0</v>
      </c>
    </row>
    <row r="149" spans="1:11" customFormat="1" hidden="1">
      <c r="A149">
        <v>6244</v>
      </c>
      <c r="B149" t="s">
        <v>483</v>
      </c>
      <c r="C149" s="46">
        <v>2584126</v>
      </c>
      <c r="D149" s="46">
        <v>2539408</v>
      </c>
      <c r="E149" s="46">
        <v>1549830</v>
      </c>
      <c r="F149">
        <v>1.76</v>
      </c>
      <c r="G149">
        <v>66.73</v>
      </c>
      <c r="H149" s="46">
        <v>19007524</v>
      </c>
      <c r="I149" s="46">
        <v>16665599</v>
      </c>
      <c r="J149">
        <v>14.05</v>
      </c>
      <c r="K149">
        <v>1</v>
      </c>
    </row>
    <row r="150" spans="1:11" customFormat="1" hidden="1">
      <c r="A150">
        <v>6242</v>
      </c>
      <c r="B150" t="s">
        <v>1757</v>
      </c>
      <c r="C150" s="46">
        <v>44169</v>
      </c>
      <c r="D150" s="46">
        <v>31557</v>
      </c>
      <c r="E150" s="46">
        <v>42165</v>
      </c>
      <c r="F150">
        <v>39.96</v>
      </c>
      <c r="G150">
        <v>4.75</v>
      </c>
      <c r="H150" s="46">
        <v>377171</v>
      </c>
      <c r="I150" s="46">
        <v>186716</v>
      </c>
      <c r="J150">
        <v>102</v>
      </c>
      <c r="K150">
        <v>1</v>
      </c>
    </row>
    <row r="151" spans="1:11" customFormat="1" hidden="1">
      <c r="A151">
        <v>6241</v>
      </c>
      <c r="B151" t="s">
        <v>482</v>
      </c>
      <c r="C151" s="46">
        <v>20873</v>
      </c>
      <c r="D151" s="46">
        <v>20256</v>
      </c>
      <c r="E151" s="46">
        <v>25896</v>
      </c>
      <c r="F151">
        <v>3.04</v>
      </c>
      <c r="G151">
        <v>-19.39</v>
      </c>
      <c r="H151" s="46">
        <v>115493</v>
      </c>
      <c r="I151" s="46">
        <v>512239</v>
      </c>
      <c r="J151">
        <v>-77.45</v>
      </c>
      <c r="K151">
        <v>1</v>
      </c>
    </row>
    <row r="152" spans="1:11" customFormat="1" hidden="1">
      <c r="A152">
        <v>6240</v>
      </c>
      <c r="B152" t="s">
        <v>2223</v>
      </c>
      <c r="C152" s="46">
        <v>4994</v>
      </c>
      <c r="D152" s="46">
        <v>18454</v>
      </c>
      <c r="E152" s="46">
        <v>23298</v>
      </c>
      <c r="F152">
        <v>-72.930000000000007</v>
      </c>
      <c r="G152">
        <v>-78.56</v>
      </c>
      <c r="H152" s="46">
        <v>177725</v>
      </c>
      <c r="I152" s="46">
        <v>273801</v>
      </c>
      <c r="J152">
        <v>-35.08</v>
      </c>
      <c r="K152">
        <v>0</v>
      </c>
    </row>
    <row r="153" spans="1:11" customFormat="1" hidden="1">
      <c r="A153">
        <v>6238</v>
      </c>
      <c r="B153" t="s">
        <v>2070</v>
      </c>
      <c r="C153" s="46">
        <v>233662</v>
      </c>
      <c r="D153" s="46">
        <v>242836</v>
      </c>
      <c r="E153" s="46">
        <v>132388</v>
      </c>
      <c r="F153">
        <v>-3.77</v>
      </c>
      <c r="G153">
        <v>76.489999999999995</v>
      </c>
      <c r="H153" s="46">
        <v>2094728</v>
      </c>
      <c r="I153" s="46">
        <v>976527</v>
      </c>
      <c r="J153">
        <v>114.5</v>
      </c>
      <c r="K153">
        <v>1</v>
      </c>
    </row>
    <row r="154" spans="1:11" customFormat="1" hidden="1">
      <c r="A154">
        <v>6237</v>
      </c>
      <c r="B154" t="s">
        <v>481</v>
      </c>
      <c r="C154" s="46">
        <v>35556</v>
      </c>
      <c r="D154" s="46">
        <v>29825</v>
      </c>
      <c r="E154" s="46">
        <v>30290</v>
      </c>
      <c r="F154">
        <v>19.21</v>
      </c>
      <c r="G154">
        <v>17.38</v>
      </c>
      <c r="H154" s="46">
        <v>299746</v>
      </c>
      <c r="I154" s="46">
        <v>298251</v>
      </c>
      <c r="J154">
        <v>0.5</v>
      </c>
      <c r="K154">
        <v>1</v>
      </c>
    </row>
    <row r="155" spans="1:11" customFormat="1" hidden="1">
      <c r="A155">
        <v>6236</v>
      </c>
      <c r="B155" t="s">
        <v>480</v>
      </c>
      <c r="C155" s="46">
        <v>11642</v>
      </c>
      <c r="D155" s="46">
        <v>11626</v>
      </c>
      <c r="E155" s="46">
        <v>24068</v>
      </c>
      <c r="F155">
        <v>0.13</v>
      </c>
      <c r="G155">
        <v>-51.62</v>
      </c>
      <c r="H155" s="46">
        <v>110668</v>
      </c>
      <c r="I155" s="46">
        <v>186740</v>
      </c>
      <c r="J155">
        <v>-40.729999999999997</v>
      </c>
      <c r="K155">
        <v>1</v>
      </c>
    </row>
    <row r="156" spans="1:11" customFormat="1" hidden="1">
      <c r="A156">
        <v>6234</v>
      </c>
      <c r="B156" t="s">
        <v>479</v>
      </c>
      <c r="C156" s="46">
        <v>80132</v>
      </c>
      <c r="D156" s="46">
        <v>80155</v>
      </c>
      <c r="E156" s="46">
        <v>97568</v>
      </c>
      <c r="F156">
        <v>-0.02</v>
      </c>
      <c r="G156">
        <v>-17.87</v>
      </c>
      <c r="H156" s="46">
        <v>983776</v>
      </c>
      <c r="I156" s="46">
        <v>723031</v>
      </c>
      <c r="J156">
        <v>36.06</v>
      </c>
      <c r="K156">
        <v>0</v>
      </c>
    </row>
    <row r="157" spans="1:11" customFormat="1" hidden="1">
      <c r="A157">
        <v>6233</v>
      </c>
      <c r="B157" t="s">
        <v>1984</v>
      </c>
      <c r="C157" s="46">
        <v>41969</v>
      </c>
      <c r="D157" s="46">
        <v>49335</v>
      </c>
      <c r="E157" s="46">
        <v>26313</v>
      </c>
      <c r="F157">
        <v>-14.93</v>
      </c>
      <c r="G157">
        <v>59.49</v>
      </c>
      <c r="H157" s="46">
        <v>364513</v>
      </c>
      <c r="I157" s="46">
        <v>275841</v>
      </c>
      <c r="J157">
        <v>32.14</v>
      </c>
      <c r="K157">
        <v>1</v>
      </c>
    </row>
    <row r="158" spans="1:11" customFormat="1" hidden="1">
      <c r="A158">
        <v>6231</v>
      </c>
      <c r="B158" t="s">
        <v>478</v>
      </c>
      <c r="C158" s="46">
        <v>71728</v>
      </c>
      <c r="D158" s="46">
        <v>80602</v>
      </c>
      <c r="E158" s="46">
        <v>70412</v>
      </c>
      <c r="F158">
        <v>-11</v>
      </c>
      <c r="G158">
        <v>1.86</v>
      </c>
      <c r="H158" s="46">
        <v>688906</v>
      </c>
      <c r="I158" s="46">
        <v>717230</v>
      </c>
      <c r="J158">
        <v>-3.94</v>
      </c>
      <c r="K158">
        <v>0</v>
      </c>
    </row>
    <row r="159" spans="1:11" customFormat="1" hidden="1">
      <c r="A159">
        <v>6229</v>
      </c>
      <c r="B159" t="s">
        <v>477</v>
      </c>
      <c r="C159" s="46">
        <v>89371</v>
      </c>
      <c r="D159" s="46">
        <v>107137</v>
      </c>
      <c r="E159" s="46">
        <v>122755</v>
      </c>
      <c r="F159">
        <v>-16.579999999999998</v>
      </c>
      <c r="G159">
        <v>-27.19</v>
      </c>
      <c r="H159" s="46">
        <v>749690</v>
      </c>
      <c r="I159" s="46">
        <v>772067</v>
      </c>
      <c r="J159">
        <v>-2.89</v>
      </c>
      <c r="K159">
        <v>1</v>
      </c>
    </row>
    <row r="160" spans="1:11" customFormat="1" hidden="1">
      <c r="A160">
        <v>6228</v>
      </c>
      <c r="B160" t="s">
        <v>2160</v>
      </c>
      <c r="C160" s="46">
        <v>9749</v>
      </c>
      <c r="D160" s="46">
        <v>10450</v>
      </c>
      <c r="E160" s="46">
        <v>29037</v>
      </c>
      <c r="F160">
        <v>-6.7</v>
      </c>
      <c r="G160">
        <v>-66.42</v>
      </c>
      <c r="H160" s="46">
        <v>88673</v>
      </c>
      <c r="I160" s="46">
        <v>113706</v>
      </c>
      <c r="J160">
        <v>-22.01</v>
      </c>
      <c r="K160" s="242">
        <v>1</v>
      </c>
    </row>
    <row r="161" spans="1:11" customFormat="1" hidden="1">
      <c r="A161">
        <v>6227</v>
      </c>
      <c r="B161" t="s">
        <v>476</v>
      </c>
      <c r="C161" s="46">
        <v>710540</v>
      </c>
      <c r="D161" s="46">
        <v>735383</v>
      </c>
      <c r="E161" s="46">
        <v>425221</v>
      </c>
      <c r="F161">
        <v>-3.37</v>
      </c>
      <c r="G161">
        <v>67.09</v>
      </c>
      <c r="H161" s="46">
        <v>4383722</v>
      </c>
      <c r="I161" s="46">
        <v>3637639</v>
      </c>
      <c r="J161">
        <v>20.51</v>
      </c>
      <c r="K161">
        <v>1</v>
      </c>
    </row>
    <row r="162" spans="1:11" customFormat="1" hidden="1">
      <c r="A162">
        <v>6223</v>
      </c>
      <c r="B162" t="s">
        <v>475</v>
      </c>
      <c r="C162" s="46">
        <v>319530</v>
      </c>
      <c r="D162" s="46">
        <v>349610</v>
      </c>
      <c r="E162" s="46">
        <v>408601</v>
      </c>
      <c r="F162">
        <v>-8.6</v>
      </c>
      <c r="G162">
        <v>-21.79</v>
      </c>
      <c r="H162" s="46">
        <v>3329143</v>
      </c>
      <c r="I162" s="46">
        <v>3365459</v>
      </c>
      <c r="J162">
        <v>-1.07</v>
      </c>
      <c r="K162">
        <v>0</v>
      </c>
    </row>
    <row r="163" spans="1:11" customFormat="1" hidden="1">
      <c r="A163">
        <v>6222</v>
      </c>
      <c r="B163" t="s">
        <v>2159</v>
      </c>
      <c r="C163" s="46">
        <v>3501</v>
      </c>
      <c r="D163" s="46">
        <v>3056</v>
      </c>
      <c r="E163" s="46">
        <v>6294</v>
      </c>
      <c r="F163">
        <v>14.56</v>
      </c>
      <c r="G163">
        <v>-44.37</v>
      </c>
      <c r="H163" s="46">
        <v>65944</v>
      </c>
      <c r="I163" s="46">
        <v>153236</v>
      </c>
      <c r="J163">
        <v>-56.96</v>
      </c>
      <c r="K163">
        <v>0</v>
      </c>
    </row>
    <row r="164" spans="1:11" customFormat="1" hidden="1">
      <c r="A164">
        <v>6221</v>
      </c>
      <c r="B164" t="s">
        <v>474</v>
      </c>
      <c r="C164" s="46">
        <v>155209</v>
      </c>
      <c r="D164" s="46">
        <v>139863</v>
      </c>
      <c r="E164" s="46">
        <v>199108</v>
      </c>
      <c r="F164">
        <v>10.97</v>
      </c>
      <c r="G164">
        <v>-22.04</v>
      </c>
      <c r="H164" s="46">
        <v>1747659</v>
      </c>
      <c r="I164" s="46">
        <v>1521004</v>
      </c>
      <c r="J164">
        <v>14.9</v>
      </c>
      <c r="K164">
        <v>0</v>
      </c>
    </row>
    <row r="165" spans="1:11" customFormat="1" hidden="1">
      <c r="A165">
        <v>6220</v>
      </c>
      <c r="B165" t="s">
        <v>473</v>
      </c>
      <c r="C165" s="46">
        <v>629855</v>
      </c>
      <c r="D165" s="46">
        <v>841144</v>
      </c>
      <c r="E165" s="46">
        <v>636198</v>
      </c>
      <c r="F165">
        <v>-25.11</v>
      </c>
      <c r="G165">
        <v>-0.99</v>
      </c>
      <c r="H165" s="46">
        <v>5632144</v>
      </c>
      <c r="I165" s="46">
        <v>5359898</v>
      </c>
      <c r="J165">
        <v>5.07</v>
      </c>
      <c r="K165">
        <v>1</v>
      </c>
    </row>
    <row r="166" spans="1:11" customFormat="1" hidden="1">
      <c r="A166">
        <v>6219</v>
      </c>
      <c r="B166" t="s">
        <v>2239</v>
      </c>
      <c r="C166" s="46">
        <v>76020</v>
      </c>
      <c r="D166" s="46">
        <v>188776</v>
      </c>
      <c r="E166" s="46">
        <v>23603</v>
      </c>
      <c r="F166">
        <v>-59.73</v>
      </c>
      <c r="G166">
        <v>222.07</v>
      </c>
      <c r="H166" s="46">
        <v>799449</v>
      </c>
      <c r="I166" s="46">
        <v>1049806</v>
      </c>
      <c r="J166">
        <v>-23.84</v>
      </c>
      <c r="K166" s="242">
        <v>0</v>
      </c>
    </row>
    <row r="167" spans="1:11" customFormat="1" hidden="1">
      <c r="A167">
        <v>6218</v>
      </c>
      <c r="B167" t="s">
        <v>2015</v>
      </c>
      <c r="C167" s="46">
        <v>69863</v>
      </c>
      <c r="D167" s="46">
        <v>82528</v>
      </c>
      <c r="E167" s="46">
        <v>79455</v>
      </c>
      <c r="F167">
        <v>-15.34</v>
      </c>
      <c r="G167">
        <v>-12.07</v>
      </c>
      <c r="H167" s="46">
        <v>832451</v>
      </c>
      <c r="I167" s="46">
        <v>859289</v>
      </c>
      <c r="J167">
        <v>-3.12</v>
      </c>
      <c r="K167">
        <v>0</v>
      </c>
    </row>
    <row r="168" spans="1:11" customFormat="1">
      <c r="A168" s="219" t="str">
        <f>HYPERLINK("http://tw.stock.yahoo.com/q/ta?s=3205","3205")</f>
        <v>3205</v>
      </c>
      <c r="B168" s="219" t="str">
        <f>HYPERLINK("http://tw.stock.yahoo.com/d/s/earning_3205.html","佰研")</f>
        <v>佰研</v>
      </c>
      <c r="C168" s="240">
        <v>158094</v>
      </c>
      <c r="D168" s="240">
        <v>106359</v>
      </c>
      <c r="E168" s="240">
        <v>50634</v>
      </c>
      <c r="F168" s="27">
        <v>48.64</v>
      </c>
      <c r="G168" s="27">
        <v>212.22</v>
      </c>
      <c r="H168" s="240">
        <v>902115</v>
      </c>
      <c r="I168" s="240">
        <v>338530</v>
      </c>
      <c r="J168" s="27">
        <v>166.48</v>
      </c>
      <c r="K168" s="243">
        <v>1</v>
      </c>
    </row>
    <row r="169" spans="1:11" customFormat="1" hidden="1">
      <c r="A169">
        <v>6212</v>
      </c>
      <c r="B169" t="s">
        <v>472</v>
      </c>
      <c r="C169" s="46">
        <v>524</v>
      </c>
      <c r="D169" s="46">
        <v>6776</v>
      </c>
      <c r="E169" s="46">
        <v>0</v>
      </c>
      <c r="F169">
        <v>-92.26</v>
      </c>
      <c r="H169" s="46">
        <v>1304687</v>
      </c>
      <c r="I169" s="46">
        <v>3133</v>
      </c>
      <c r="J169" s="233">
        <v>41543.370000000003</v>
      </c>
      <c r="K169" s="242">
        <v>0</v>
      </c>
    </row>
    <row r="170" spans="1:11" customFormat="1" hidden="1">
      <c r="A170">
        <v>6211</v>
      </c>
      <c r="B170" t="s">
        <v>2046</v>
      </c>
      <c r="C170" s="46">
        <v>15010</v>
      </c>
      <c r="D170" s="46">
        <v>35013</v>
      </c>
      <c r="E170" s="46">
        <v>24271</v>
      </c>
      <c r="F170">
        <v>-57.13</v>
      </c>
      <c r="G170">
        <v>-38.15</v>
      </c>
      <c r="H170" s="46">
        <v>243576</v>
      </c>
      <c r="I170" s="46">
        <v>369239</v>
      </c>
      <c r="J170">
        <v>-34.03</v>
      </c>
      <c r="K170">
        <v>0</v>
      </c>
    </row>
    <row r="171" spans="1:11" customFormat="1" hidden="1">
      <c r="A171">
        <v>6210</v>
      </c>
      <c r="B171" t="s">
        <v>2203</v>
      </c>
      <c r="C171" s="46">
        <v>68792</v>
      </c>
      <c r="D171" s="46">
        <v>64756</v>
      </c>
      <c r="E171" s="46">
        <v>102625</v>
      </c>
      <c r="F171">
        <v>6.23</v>
      </c>
      <c r="G171">
        <v>-32.96</v>
      </c>
      <c r="H171" s="46">
        <v>823002</v>
      </c>
      <c r="I171" s="46">
        <v>852032</v>
      </c>
      <c r="J171">
        <v>-3.4</v>
      </c>
      <c r="K171">
        <v>0</v>
      </c>
    </row>
    <row r="172" spans="1:11" customFormat="1" hidden="1">
      <c r="A172" s="219">
        <v>6208</v>
      </c>
      <c r="B172" s="219" t="s">
        <v>2045</v>
      </c>
      <c r="C172" s="240">
        <v>117337</v>
      </c>
      <c r="D172" s="240">
        <v>118807</v>
      </c>
      <c r="E172" s="240">
        <v>146360</v>
      </c>
      <c r="F172" s="27">
        <v>-1.23</v>
      </c>
      <c r="G172" s="27">
        <v>-19.82</v>
      </c>
      <c r="H172" s="240">
        <v>1077678</v>
      </c>
      <c r="I172" s="240">
        <v>1187237</v>
      </c>
      <c r="J172" s="27">
        <v>-9.2200000000000006</v>
      </c>
      <c r="K172" s="243">
        <v>1</v>
      </c>
    </row>
    <row r="173" spans="1:11" customFormat="1" hidden="1">
      <c r="A173">
        <v>6207</v>
      </c>
      <c r="B173" t="s">
        <v>471</v>
      </c>
      <c r="C173" s="46">
        <v>151428</v>
      </c>
      <c r="D173" s="46">
        <v>165105</v>
      </c>
      <c r="E173" s="46">
        <v>177128</v>
      </c>
      <c r="F173">
        <v>-8.2799999999999994</v>
      </c>
      <c r="G173">
        <v>-14.5</v>
      </c>
      <c r="H173" s="46">
        <v>1689081</v>
      </c>
      <c r="I173" s="46">
        <v>1456594</v>
      </c>
      <c r="J173">
        <v>15.96</v>
      </c>
      <c r="K173" s="242">
        <v>0</v>
      </c>
    </row>
    <row r="174" spans="1:11" customFormat="1" hidden="1">
      <c r="A174">
        <v>6204</v>
      </c>
      <c r="B174" t="s">
        <v>2044</v>
      </c>
      <c r="C174" s="46">
        <v>41880</v>
      </c>
      <c r="D174" s="46">
        <v>44024</v>
      </c>
      <c r="E174" s="46">
        <v>41761</v>
      </c>
      <c r="F174">
        <v>-4.87</v>
      </c>
      <c r="G174">
        <v>0.28000000000000003</v>
      </c>
      <c r="H174" s="46">
        <v>504704</v>
      </c>
      <c r="I174" s="46">
        <v>545754</v>
      </c>
      <c r="J174">
        <v>-7.52</v>
      </c>
      <c r="K174" s="242">
        <v>0</v>
      </c>
    </row>
    <row r="175" spans="1:11" customFormat="1" hidden="1">
      <c r="A175">
        <v>6203</v>
      </c>
      <c r="B175" t="s">
        <v>470</v>
      </c>
      <c r="C175" s="46">
        <v>137130</v>
      </c>
      <c r="D175" s="46">
        <v>145254</v>
      </c>
      <c r="E175" s="46">
        <v>178619</v>
      </c>
      <c r="F175">
        <v>-5.59</v>
      </c>
      <c r="G175">
        <v>-23.22</v>
      </c>
      <c r="H175" s="46">
        <v>1392025</v>
      </c>
      <c r="I175" s="46">
        <v>2242568</v>
      </c>
      <c r="J175">
        <v>-37.92</v>
      </c>
      <c r="K175" s="242">
        <v>0</v>
      </c>
    </row>
    <row r="176" spans="1:11" customFormat="1" hidden="1">
      <c r="A176">
        <v>6199</v>
      </c>
      <c r="B176" t="s">
        <v>2261</v>
      </c>
      <c r="C176" s="46">
        <v>5949</v>
      </c>
      <c r="D176" s="46">
        <v>7617</v>
      </c>
      <c r="E176" s="46">
        <v>13990</v>
      </c>
      <c r="F176">
        <v>-21.89</v>
      </c>
      <c r="G176">
        <v>-57.47</v>
      </c>
      <c r="H176" s="46">
        <v>55549</v>
      </c>
      <c r="I176" s="46">
        <v>61044</v>
      </c>
      <c r="J176">
        <v>-9</v>
      </c>
      <c r="K176">
        <v>1</v>
      </c>
    </row>
    <row r="177" spans="1:11" customFormat="1" hidden="1">
      <c r="A177">
        <v>6198</v>
      </c>
      <c r="B177" t="s">
        <v>1983</v>
      </c>
      <c r="C177" s="46">
        <v>3534</v>
      </c>
      <c r="D177" s="46">
        <v>7310</v>
      </c>
      <c r="E177" s="46">
        <v>9052</v>
      </c>
      <c r="F177">
        <v>-51.65</v>
      </c>
      <c r="G177">
        <v>-60.95</v>
      </c>
      <c r="H177" s="46">
        <v>63399</v>
      </c>
      <c r="I177" s="46">
        <v>73005</v>
      </c>
      <c r="J177">
        <v>-13.15</v>
      </c>
      <c r="K177">
        <v>0</v>
      </c>
    </row>
    <row r="178" spans="1:11" customFormat="1" hidden="1">
      <c r="A178">
        <v>6195</v>
      </c>
      <c r="B178" t="s">
        <v>469</v>
      </c>
      <c r="C178" s="46">
        <v>134326</v>
      </c>
      <c r="D178" s="46">
        <v>122972</v>
      </c>
      <c r="E178" s="46">
        <v>140363</v>
      </c>
      <c r="F178">
        <v>9.23</v>
      </c>
      <c r="G178">
        <v>-4.3</v>
      </c>
      <c r="H178" s="46">
        <v>1300236</v>
      </c>
      <c r="I178" s="46">
        <v>1397843</v>
      </c>
      <c r="J178">
        <v>-6.98</v>
      </c>
      <c r="K178">
        <v>0</v>
      </c>
    </row>
    <row r="179" spans="1:11" customFormat="1" hidden="1">
      <c r="A179">
        <v>6194</v>
      </c>
      <c r="B179" t="s">
        <v>2202</v>
      </c>
      <c r="C179" s="46">
        <v>42607</v>
      </c>
      <c r="D179" s="46">
        <v>42999</v>
      </c>
      <c r="E179" s="46">
        <v>34718</v>
      </c>
      <c r="F179">
        <v>-0.91</v>
      </c>
      <c r="G179">
        <v>22.72</v>
      </c>
      <c r="H179" s="46">
        <v>212444</v>
      </c>
      <c r="I179" s="46">
        <v>468476</v>
      </c>
      <c r="J179">
        <v>-54.65</v>
      </c>
      <c r="K179" s="242">
        <v>1</v>
      </c>
    </row>
    <row r="180" spans="1:11" customFormat="1" hidden="1">
      <c r="A180">
        <v>6190</v>
      </c>
      <c r="B180" t="s">
        <v>468</v>
      </c>
      <c r="C180" s="46">
        <v>328849</v>
      </c>
      <c r="D180" s="46">
        <v>311153</v>
      </c>
      <c r="E180" s="46">
        <v>355435</v>
      </c>
      <c r="F180">
        <v>5.68</v>
      </c>
      <c r="G180">
        <v>-7.47</v>
      </c>
      <c r="H180" s="46">
        <v>3325467</v>
      </c>
      <c r="I180" s="46">
        <v>3558128</v>
      </c>
      <c r="J180">
        <v>-6.53</v>
      </c>
      <c r="K180">
        <v>0</v>
      </c>
    </row>
    <row r="181" spans="1:11" customFormat="1" hidden="1">
      <c r="A181">
        <v>6188</v>
      </c>
      <c r="B181" t="s">
        <v>2158</v>
      </c>
      <c r="C181" s="46">
        <v>768835</v>
      </c>
      <c r="D181" s="46">
        <v>937640</v>
      </c>
      <c r="E181" s="46">
        <v>1190862</v>
      </c>
      <c r="F181">
        <v>-18</v>
      </c>
      <c r="G181">
        <v>-35.43</v>
      </c>
      <c r="H181" s="46">
        <v>8866541</v>
      </c>
      <c r="I181" s="46">
        <v>13337835</v>
      </c>
      <c r="J181">
        <v>-33.520000000000003</v>
      </c>
      <c r="K181">
        <v>0</v>
      </c>
    </row>
    <row r="182" spans="1:11" customFormat="1" hidden="1">
      <c r="A182">
        <v>6187</v>
      </c>
      <c r="B182" t="s">
        <v>2069</v>
      </c>
      <c r="C182" s="46">
        <v>94732</v>
      </c>
      <c r="D182" s="46">
        <v>92182</v>
      </c>
      <c r="E182" s="46">
        <v>150037</v>
      </c>
      <c r="F182">
        <v>2.76</v>
      </c>
      <c r="G182">
        <v>-36.86</v>
      </c>
      <c r="H182" s="46">
        <v>1323674</v>
      </c>
      <c r="I182" s="46">
        <v>1265410</v>
      </c>
      <c r="J182">
        <v>4.5999999999999996</v>
      </c>
      <c r="K182">
        <v>0</v>
      </c>
    </row>
    <row r="183" spans="1:11" customFormat="1" hidden="1">
      <c r="A183">
        <v>6186</v>
      </c>
      <c r="B183" t="s">
        <v>467</v>
      </c>
      <c r="C183" s="46">
        <v>0</v>
      </c>
      <c r="D183" s="46">
        <v>10339</v>
      </c>
      <c r="E183" s="46">
        <v>0</v>
      </c>
      <c r="F183">
        <v>-100</v>
      </c>
      <c r="H183" s="46">
        <v>486371</v>
      </c>
      <c r="I183" s="46">
        <v>509774</v>
      </c>
      <c r="J183">
        <v>-4.59</v>
      </c>
      <c r="K183">
        <v>0</v>
      </c>
    </row>
    <row r="184" spans="1:11" customFormat="1" hidden="1">
      <c r="A184">
        <v>6185</v>
      </c>
      <c r="B184" t="s">
        <v>2043</v>
      </c>
      <c r="C184" s="46">
        <v>133060</v>
      </c>
      <c r="D184" s="46">
        <v>132524</v>
      </c>
      <c r="E184" s="46">
        <v>139511</v>
      </c>
      <c r="F184">
        <v>0.4</v>
      </c>
      <c r="G184">
        <v>-4.62</v>
      </c>
      <c r="H184" s="46">
        <v>1200446</v>
      </c>
      <c r="I184" s="46">
        <v>1375599</v>
      </c>
      <c r="J184">
        <v>-12.73</v>
      </c>
      <c r="K184" s="242">
        <v>1</v>
      </c>
    </row>
    <row r="185" spans="1:11" customFormat="1" hidden="1">
      <c r="A185">
        <v>6182</v>
      </c>
      <c r="B185" t="s">
        <v>466</v>
      </c>
      <c r="C185" s="46">
        <v>398304</v>
      </c>
      <c r="D185" s="46">
        <v>471162</v>
      </c>
      <c r="E185" s="46">
        <v>490636</v>
      </c>
      <c r="F185">
        <v>-15.46</v>
      </c>
      <c r="G185">
        <v>-18.809999999999999</v>
      </c>
      <c r="H185" s="46">
        <v>4465943</v>
      </c>
      <c r="I185" s="46">
        <v>5023378</v>
      </c>
      <c r="J185">
        <v>-11.09</v>
      </c>
      <c r="K185">
        <v>0</v>
      </c>
    </row>
    <row r="186" spans="1:11" customFormat="1" hidden="1">
      <c r="A186">
        <v>6180</v>
      </c>
      <c r="B186" t="s">
        <v>2258</v>
      </c>
      <c r="C186" s="46">
        <v>792504</v>
      </c>
      <c r="D186" s="46">
        <v>860373</v>
      </c>
      <c r="E186" s="46">
        <v>601566</v>
      </c>
      <c r="F186">
        <v>-7.88</v>
      </c>
      <c r="G186">
        <v>31.74</v>
      </c>
      <c r="H186" s="46">
        <v>7954831</v>
      </c>
      <c r="I186" s="46">
        <v>7413111</v>
      </c>
      <c r="J186">
        <v>7.3</v>
      </c>
      <c r="K186" s="242">
        <v>0</v>
      </c>
    </row>
    <row r="187" spans="1:11" customFormat="1" hidden="1">
      <c r="A187">
        <v>6179</v>
      </c>
      <c r="B187" t="s">
        <v>465</v>
      </c>
      <c r="C187" s="46">
        <v>100403</v>
      </c>
      <c r="D187" s="46">
        <v>102421</v>
      </c>
      <c r="E187" s="46">
        <v>90637</v>
      </c>
      <c r="F187">
        <v>-1.97</v>
      </c>
      <c r="G187">
        <v>10.77</v>
      </c>
      <c r="H187" s="46">
        <v>1204259</v>
      </c>
      <c r="I187" s="46">
        <v>431876</v>
      </c>
      <c r="J187">
        <v>178.84</v>
      </c>
      <c r="K187">
        <v>0</v>
      </c>
    </row>
    <row r="188" spans="1:11" customFormat="1" hidden="1">
      <c r="A188">
        <v>6175</v>
      </c>
      <c r="B188" t="s">
        <v>464</v>
      </c>
      <c r="C188" s="46">
        <v>133875</v>
      </c>
      <c r="D188" s="46">
        <v>160686</v>
      </c>
      <c r="E188" s="46">
        <v>154956</v>
      </c>
      <c r="F188">
        <v>-16.68</v>
      </c>
      <c r="G188">
        <v>-13.6</v>
      </c>
      <c r="H188" s="46">
        <v>1638691</v>
      </c>
      <c r="I188" s="46">
        <v>1579997</v>
      </c>
      <c r="J188">
        <v>3.71</v>
      </c>
      <c r="K188">
        <v>0</v>
      </c>
    </row>
    <row r="189" spans="1:11" customFormat="1" hidden="1">
      <c r="A189">
        <v>6174</v>
      </c>
      <c r="B189" t="s">
        <v>2042</v>
      </c>
      <c r="C189" s="46">
        <v>41962</v>
      </c>
      <c r="D189" s="46">
        <v>45334</v>
      </c>
      <c r="E189" s="46">
        <v>47386</v>
      </c>
      <c r="F189">
        <v>-7.43</v>
      </c>
      <c r="G189">
        <v>-11.44</v>
      </c>
      <c r="H189" s="46">
        <v>453720</v>
      </c>
      <c r="I189" s="46">
        <v>492284</v>
      </c>
      <c r="J189">
        <v>-7.83</v>
      </c>
      <c r="K189">
        <v>0</v>
      </c>
    </row>
    <row r="190" spans="1:11" customFormat="1" hidden="1">
      <c r="A190">
        <v>6173</v>
      </c>
      <c r="B190" t="s">
        <v>2041</v>
      </c>
      <c r="C190" s="46">
        <v>204220</v>
      </c>
      <c r="D190" s="46">
        <v>210538</v>
      </c>
      <c r="E190" s="46">
        <v>217945</v>
      </c>
      <c r="F190">
        <v>-3</v>
      </c>
      <c r="G190">
        <v>-6.29</v>
      </c>
      <c r="H190" s="46">
        <v>1986762</v>
      </c>
      <c r="I190" s="46">
        <v>2092853</v>
      </c>
      <c r="J190">
        <v>-5.0599999999999996</v>
      </c>
      <c r="K190">
        <v>0</v>
      </c>
    </row>
    <row r="191" spans="1:11" customFormat="1" hidden="1">
      <c r="A191">
        <v>6171</v>
      </c>
      <c r="B191" t="s">
        <v>463</v>
      </c>
      <c r="C191" s="46">
        <v>14</v>
      </c>
      <c r="D191" s="46">
        <v>14</v>
      </c>
      <c r="E191" s="46">
        <v>14</v>
      </c>
      <c r="F191">
        <v>0</v>
      </c>
      <c r="G191">
        <v>0</v>
      </c>
      <c r="H191" s="46">
        <v>80251</v>
      </c>
      <c r="I191" s="46">
        <v>86</v>
      </c>
      <c r="J191" s="233">
        <v>93215.11</v>
      </c>
      <c r="K191">
        <v>0</v>
      </c>
    </row>
    <row r="192" spans="1:11" customFormat="1" hidden="1">
      <c r="A192">
        <v>6170</v>
      </c>
      <c r="B192" t="s">
        <v>462</v>
      </c>
      <c r="C192" s="46">
        <v>275521</v>
      </c>
      <c r="D192" s="46">
        <v>267137</v>
      </c>
      <c r="E192" s="46">
        <v>329474</v>
      </c>
      <c r="F192">
        <v>3.13</v>
      </c>
      <c r="G192">
        <v>-16.37</v>
      </c>
      <c r="H192" s="46">
        <v>3014641</v>
      </c>
      <c r="I192" s="46">
        <v>3835058</v>
      </c>
      <c r="J192">
        <v>-21.39</v>
      </c>
      <c r="K192">
        <v>0</v>
      </c>
    </row>
    <row r="193" spans="1:11" customFormat="1" hidden="1">
      <c r="A193">
        <v>6169</v>
      </c>
      <c r="B193" t="s">
        <v>2257</v>
      </c>
      <c r="C193" s="46">
        <v>12571</v>
      </c>
      <c r="D193" s="46">
        <v>20760</v>
      </c>
      <c r="E193" s="46">
        <v>14265</v>
      </c>
      <c r="F193">
        <v>-39.44</v>
      </c>
      <c r="G193">
        <v>-11.87</v>
      </c>
      <c r="H193" s="46">
        <v>147774</v>
      </c>
      <c r="I193" s="46">
        <v>194340</v>
      </c>
      <c r="J193">
        <v>-23.96</v>
      </c>
      <c r="K193">
        <v>0</v>
      </c>
    </row>
    <row r="194" spans="1:11" customFormat="1" hidden="1">
      <c r="A194">
        <v>6167</v>
      </c>
      <c r="B194" t="s">
        <v>2174</v>
      </c>
      <c r="C194" s="46">
        <v>146126</v>
      </c>
      <c r="D194" s="46">
        <v>163808</v>
      </c>
      <c r="E194" s="46">
        <v>194197</v>
      </c>
      <c r="F194">
        <v>-10.79</v>
      </c>
      <c r="G194">
        <v>-24.75</v>
      </c>
      <c r="H194" s="46">
        <v>1550859</v>
      </c>
      <c r="I194" s="46">
        <v>1755371</v>
      </c>
      <c r="J194">
        <v>-11.65</v>
      </c>
      <c r="K194">
        <v>0</v>
      </c>
    </row>
    <row r="195" spans="1:11" customFormat="1" hidden="1">
      <c r="A195">
        <v>6163</v>
      </c>
      <c r="B195" t="s">
        <v>461</v>
      </c>
      <c r="C195" s="46">
        <v>155621</v>
      </c>
      <c r="D195" s="46">
        <v>151423</v>
      </c>
      <c r="E195" s="46">
        <v>282662</v>
      </c>
      <c r="F195">
        <v>2.77</v>
      </c>
      <c r="G195">
        <v>-44.94</v>
      </c>
      <c r="H195" s="46">
        <v>2576522</v>
      </c>
      <c r="I195" s="46">
        <v>2558474</v>
      </c>
      <c r="J195">
        <v>0.7</v>
      </c>
      <c r="K195">
        <v>0</v>
      </c>
    </row>
    <row r="196" spans="1:11" customFormat="1" hidden="1">
      <c r="A196">
        <v>6161</v>
      </c>
      <c r="B196" t="s">
        <v>460</v>
      </c>
      <c r="C196" s="46">
        <v>195715</v>
      </c>
      <c r="D196" s="46">
        <v>254879</v>
      </c>
      <c r="E196" s="46">
        <v>265754</v>
      </c>
      <c r="F196">
        <v>-23.21</v>
      </c>
      <c r="G196">
        <v>-26.35</v>
      </c>
      <c r="H196" s="46">
        <v>2418598</v>
      </c>
      <c r="I196" s="46">
        <v>3582859</v>
      </c>
      <c r="J196">
        <v>-32.49</v>
      </c>
      <c r="K196">
        <v>0</v>
      </c>
    </row>
    <row r="197" spans="1:11" customFormat="1" hidden="1">
      <c r="A197">
        <v>6160</v>
      </c>
      <c r="B197" t="s">
        <v>2157</v>
      </c>
      <c r="C197" s="46">
        <v>102479</v>
      </c>
      <c r="D197" s="46">
        <v>84671</v>
      </c>
      <c r="E197" s="46">
        <v>127833</v>
      </c>
      <c r="F197">
        <v>21.03</v>
      </c>
      <c r="G197">
        <v>-19.829999999999998</v>
      </c>
      <c r="H197" s="46">
        <v>853570</v>
      </c>
      <c r="I197" s="46">
        <v>1116898</v>
      </c>
      <c r="J197">
        <v>-23.57</v>
      </c>
      <c r="K197">
        <v>1</v>
      </c>
    </row>
    <row r="198" spans="1:11" customFormat="1" hidden="1">
      <c r="A198">
        <v>6158</v>
      </c>
      <c r="B198" t="s">
        <v>459</v>
      </c>
      <c r="C198" s="46">
        <v>179233</v>
      </c>
      <c r="D198" s="46">
        <v>211465</v>
      </c>
      <c r="E198" s="46">
        <v>206506</v>
      </c>
      <c r="F198">
        <v>-15.24</v>
      </c>
      <c r="G198">
        <v>-13.2</v>
      </c>
      <c r="H198" s="46">
        <v>1854750</v>
      </c>
      <c r="I198" s="46">
        <v>2498240</v>
      </c>
      <c r="J198">
        <v>-25.75</v>
      </c>
      <c r="K198">
        <v>0</v>
      </c>
    </row>
    <row r="199" spans="1:11" customFormat="1" hidden="1">
      <c r="A199">
        <v>6156</v>
      </c>
      <c r="B199" t="s">
        <v>2201</v>
      </c>
      <c r="C199" s="46">
        <v>268300</v>
      </c>
      <c r="D199" s="46">
        <v>324121</v>
      </c>
      <c r="E199" s="46">
        <v>310048</v>
      </c>
      <c r="F199">
        <v>-17.22</v>
      </c>
      <c r="G199" s="233">
        <v>-13.46</v>
      </c>
      <c r="H199" s="46">
        <v>3350275</v>
      </c>
      <c r="I199" s="46">
        <v>3101144</v>
      </c>
      <c r="J199">
        <v>8.0299999999999994</v>
      </c>
      <c r="K199">
        <v>0</v>
      </c>
    </row>
    <row r="200" spans="1:11" customFormat="1" hidden="1">
      <c r="A200">
        <v>6154</v>
      </c>
      <c r="B200" t="s">
        <v>458</v>
      </c>
      <c r="C200" s="46">
        <v>398294</v>
      </c>
      <c r="D200" s="46">
        <v>476537</v>
      </c>
      <c r="E200" s="46">
        <v>423140</v>
      </c>
      <c r="F200">
        <v>-16.41</v>
      </c>
      <c r="G200">
        <v>-5.87</v>
      </c>
      <c r="H200" s="46">
        <v>4411101</v>
      </c>
      <c r="I200" s="46">
        <v>4599102</v>
      </c>
      <c r="J200">
        <v>-4.08</v>
      </c>
      <c r="K200" s="242">
        <v>0</v>
      </c>
    </row>
    <row r="201" spans="1:11" customFormat="1" hidden="1">
      <c r="A201">
        <v>6151</v>
      </c>
      <c r="B201" t="s">
        <v>2232</v>
      </c>
      <c r="C201" s="46">
        <v>145433</v>
      </c>
      <c r="D201" s="46">
        <v>158785</v>
      </c>
      <c r="E201" s="46">
        <v>155050</v>
      </c>
      <c r="F201">
        <v>-8.4</v>
      </c>
      <c r="G201">
        <v>-6.2</v>
      </c>
      <c r="H201" s="46">
        <v>1628510</v>
      </c>
      <c r="I201" s="46">
        <v>1699201</v>
      </c>
      <c r="J201">
        <v>-4.16</v>
      </c>
      <c r="K201">
        <v>0</v>
      </c>
    </row>
    <row r="202" spans="1:11" customFormat="1" hidden="1">
      <c r="A202">
        <v>6150</v>
      </c>
      <c r="B202" t="s">
        <v>2156</v>
      </c>
      <c r="C202" s="46">
        <v>141955</v>
      </c>
      <c r="D202" s="46">
        <v>221058</v>
      </c>
      <c r="E202" s="46">
        <v>179749</v>
      </c>
      <c r="F202">
        <v>-35.78</v>
      </c>
      <c r="G202">
        <v>-21.02</v>
      </c>
      <c r="H202" s="46">
        <v>2122504</v>
      </c>
      <c r="I202" s="46">
        <v>3258692</v>
      </c>
      <c r="J202">
        <v>-34.86</v>
      </c>
      <c r="K202" s="242">
        <v>0</v>
      </c>
    </row>
    <row r="203" spans="1:11" customFormat="1" hidden="1">
      <c r="A203">
        <v>6148</v>
      </c>
      <c r="B203" t="s">
        <v>1730</v>
      </c>
      <c r="C203" s="46">
        <v>497220</v>
      </c>
      <c r="D203" s="46">
        <v>604293</v>
      </c>
      <c r="E203" s="46">
        <v>531360</v>
      </c>
      <c r="F203">
        <v>-17.71</v>
      </c>
      <c r="G203">
        <v>-6.42</v>
      </c>
      <c r="H203" s="46">
        <v>4141871</v>
      </c>
      <c r="I203" s="46">
        <v>4197791</v>
      </c>
      <c r="J203">
        <v>-1.33</v>
      </c>
      <c r="K203">
        <v>1</v>
      </c>
    </row>
    <row r="204" spans="1:11" customFormat="1" hidden="1">
      <c r="A204">
        <v>6147</v>
      </c>
      <c r="B204" t="s">
        <v>1982</v>
      </c>
      <c r="C204" s="46">
        <v>1417792</v>
      </c>
      <c r="D204" s="46">
        <v>1401325</v>
      </c>
      <c r="E204" s="46">
        <v>1545561</v>
      </c>
      <c r="F204">
        <v>1.17</v>
      </c>
      <c r="G204">
        <v>-8.26</v>
      </c>
      <c r="H204" s="46">
        <v>14339889</v>
      </c>
      <c r="I204" s="46">
        <v>14728857</v>
      </c>
      <c r="J204">
        <v>-2.64</v>
      </c>
      <c r="K204" s="242">
        <v>0</v>
      </c>
    </row>
    <row r="205" spans="1:11" customFormat="1" hidden="1">
      <c r="A205">
        <v>6146</v>
      </c>
      <c r="B205" t="s">
        <v>457</v>
      </c>
      <c r="C205" s="46">
        <v>260310</v>
      </c>
      <c r="D205" s="46">
        <v>282048</v>
      </c>
      <c r="E205" s="46">
        <v>272058</v>
      </c>
      <c r="F205">
        <v>-7.7</v>
      </c>
      <c r="G205">
        <v>-4.3099999999999996</v>
      </c>
      <c r="H205" s="46">
        <v>2676262</v>
      </c>
      <c r="I205" s="46">
        <v>2431100</v>
      </c>
      <c r="J205">
        <v>10.08</v>
      </c>
      <c r="K205" s="242">
        <v>0</v>
      </c>
    </row>
    <row r="206" spans="1:11" customFormat="1" hidden="1">
      <c r="A206">
        <v>6144</v>
      </c>
      <c r="B206" t="s">
        <v>2096</v>
      </c>
      <c r="C206" s="46">
        <v>62205</v>
      </c>
      <c r="D206" s="46">
        <v>69205</v>
      </c>
      <c r="E206" s="46">
        <v>76527</v>
      </c>
      <c r="F206">
        <v>-10.11</v>
      </c>
      <c r="G206">
        <v>-18.71</v>
      </c>
      <c r="H206" s="46">
        <v>645286</v>
      </c>
      <c r="I206" s="46">
        <v>656099</v>
      </c>
      <c r="J206">
        <v>-1.64</v>
      </c>
      <c r="K206">
        <v>0</v>
      </c>
    </row>
    <row r="207" spans="1:11" customFormat="1" hidden="1">
      <c r="A207">
        <v>6143</v>
      </c>
      <c r="B207" t="s">
        <v>2014</v>
      </c>
      <c r="C207" s="46">
        <v>635998</v>
      </c>
      <c r="D207" s="46">
        <v>512692</v>
      </c>
      <c r="E207" s="46">
        <v>540340</v>
      </c>
      <c r="F207">
        <v>24.05</v>
      </c>
      <c r="G207">
        <v>17.7</v>
      </c>
      <c r="H207" s="46">
        <v>3801815</v>
      </c>
      <c r="I207" s="46">
        <v>3789259</v>
      </c>
      <c r="J207">
        <v>0.33</v>
      </c>
      <c r="K207">
        <v>1</v>
      </c>
    </row>
    <row r="208" spans="1:11" customFormat="1" hidden="1">
      <c r="A208">
        <v>6140</v>
      </c>
      <c r="B208" t="s">
        <v>2222</v>
      </c>
      <c r="C208" s="46">
        <v>96010</v>
      </c>
      <c r="D208" s="46">
        <v>105721</v>
      </c>
      <c r="E208" s="46">
        <v>77331</v>
      </c>
      <c r="F208">
        <v>-9.18</v>
      </c>
      <c r="G208">
        <v>24.15</v>
      </c>
      <c r="H208" s="46">
        <v>1113562</v>
      </c>
      <c r="I208" s="46">
        <v>1060353</v>
      </c>
      <c r="J208">
        <v>5.01</v>
      </c>
      <c r="K208" s="242">
        <v>0</v>
      </c>
    </row>
    <row r="209" spans="1:11" customFormat="1" hidden="1">
      <c r="A209">
        <v>6138</v>
      </c>
      <c r="B209" t="s">
        <v>1981</v>
      </c>
      <c r="C209" s="46">
        <v>310033</v>
      </c>
      <c r="D209" s="46">
        <v>299673</v>
      </c>
      <c r="E209" s="46">
        <v>276284</v>
      </c>
      <c r="F209">
        <v>3.45</v>
      </c>
      <c r="G209">
        <v>12.21</v>
      </c>
      <c r="H209" s="46">
        <v>2453944</v>
      </c>
      <c r="I209" s="46">
        <v>2996239</v>
      </c>
      <c r="J209">
        <v>-18.09</v>
      </c>
      <c r="K209" s="242">
        <v>1</v>
      </c>
    </row>
    <row r="210" spans="1:11" customFormat="1" hidden="1">
      <c r="A210">
        <v>6135</v>
      </c>
      <c r="B210" t="s">
        <v>2213</v>
      </c>
      <c r="C210" s="46">
        <v>2154</v>
      </c>
      <c r="D210" s="46">
        <v>20354</v>
      </c>
      <c r="E210" s="46">
        <v>515618</v>
      </c>
      <c r="F210">
        <v>-89.41</v>
      </c>
      <c r="G210">
        <v>-99.58</v>
      </c>
      <c r="H210" s="46">
        <v>3734991</v>
      </c>
      <c r="I210" s="46">
        <v>4714485</v>
      </c>
      <c r="J210">
        <v>-20.77</v>
      </c>
      <c r="K210">
        <v>0</v>
      </c>
    </row>
    <row r="211" spans="1:11" customFormat="1" hidden="1">
      <c r="A211">
        <v>6134</v>
      </c>
      <c r="B211" t="s">
        <v>2200</v>
      </c>
      <c r="C211" s="46">
        <v>134110</v>
      </c>
      <c r="D211" s="46">
        <v>150826</v>
      </c>
      <c r="E211" s="46">
        <v>159301</v>
      </c>
      <c r="F211">
        <v>-11.08</v>
      </c>
      <c r="G211">
        <v>-15.81</v>
      </c>
      <c r="H211" s="46">
        <v>1360381</v>
      </c>
      <c r="I211" s="46">
        <v>1607227</v>
      </c>
      <c r="J211">
        <v>-15.35</v>
      </c>
      <c r="K211">
        <v>0</v>
      </c>
    </row>
    <row r="212" spans="1:11" customFormat="1" hidden="1">
      <c r="A212">
        <v>6130</v>
      </c>
      <c r="B212" t="s">
        <v>456</v>
      </c>
      <c r="C212" s="46">
        <v>20602</v>
      </c>
      <c r="D212" s="46">
        <v>21619</v>
      </c>
      <c r="E212" s="46">
        <v>25903</v>
      </c>
      <c r="F212">
        <v>-4.7</v>
      </c>
      <c r="G212">
        <v>-20.46</v>
      </c>
      <c r="H212" s="46">
        <v>205937</v>
      </c>
      <c r="I212" s="46">
        <v>257545</v>
      </c>
      <c r="J212">
        <v>-20.03</v>
      </c>
      <c r="K212">
        <v>0</v>
      </c>
    </row>
    <row r="213" spans="1:11" customFormat="1" hidden="1">
      <c r="A213">
        <v>6129</v>
      </c>
      <c r="B213" t="s">
        <v>1980</v>
      </c>
      <c r="C213" s="46">
        <v>118522</v>
      </c>
      <c r="D213" s="46">
        <v>116888</v>
      </c>
      <c r="E213" s="46">
        <v>134370</v>
      </c>
      <c r="F213">
        <v>1.39</v>
      </c>
      <c r="G213">
        <v>-11.79</v>
      </c>
      <c r="H213" s="46">
        <v>1089025</v>
      </c>
      <c r="I213" s="46">
        <v>1304130</v>
      </c>
      <c r="J213">
        <v>-16.489999999999998</v>
      </c>
      <c r="K213">
        <v>1</v>
      </c>
    </row>
    <row r="214" spans="1:11" customFormat="1" hidden="1">
      <c r="A214">
        <v>6127</v>
      </c>
      <c r="B214" t="s">
        <v>2040</v>
      </c>
      <c r="C214" s="46">
        <v>82452</v>
      </c>
      <c r="D214" s="46">
        <v>97204</v>
      </c>
      <c r="E214" s="46">
        <v>91823</v>
      </c>
      <c r="F214">
        <v>-15.17</v>
      </c>
      <c r="G214">
        <v>-10.199999999999999</v>
      </c>
      <c r="H214" s="46">
        <v>900065</v>
      </c>
      <c r="I214" s="46">
        <v>866661</v>
      </c>
      <c r="J214">
        <v>3.85</v>
      </c>
      <c r="K214">
        <v>0</v>
      </c>
    </row>
    <row r="215" spans="1:11" customFormat="1" hidden="1">
      <c r="A215">
        <v>6126</v>
      </c>
      <c r="B215" t="s">
        <v>2039</v>
      </c>
      <c r="C215" s="46">
        <v>229863</v>
      </c>
      <c r="D215" s="46">
        <v>287235</v>
      </c>
      <c r="E215" s="46">
        <v>282600</v>
      </c>
      <c r="F215">
        <v>-19.97</v>
      </c>
      <c r="G215">
        <v>-18.66</v>
      </c>
      <c r="H215" s="46">
        <v>2361846</v>
      </c>
      <c r="I215" s="46">
        <v>3021138</v>
      </c>
      <c r="J215">
        <v>-21.82</v>
      </c>
      <c r="K215">
        <v>0</v>
      </c>
    </row>
    <row r="216" spans="1:11" customFormat="1" hidden="1">
      <c r="A216">
        <v>6125</v>
      </c>
      <c r="B216" t="s">
        <v>455</v>
      </c>
      <c r="C216" s="46">
        <v>912074</v>
      </c>
      <c r="D216" s="46">
        <v>1070121</v>
      </c>
      <c r="E216" s="46">
        <v>824111</v>
      </c>
      <c r="F216">
        <v>-14.76</v>
      </c>
      <c r="G216">
        <v>10.67</v>
      </c>
      <c r="H216" s="46">
        <v>8320830</v>
      </c>
      <c r="I216" s="46">
        <v>8254018</v>
      </c>
      <c r="J216">
        <v>0.8</v>
      </c>
      <c r="K216">
        <v>1</v>
      </c>
    </row>
    <row r="217" spans="1:11" customFormat="1" hidden="1">
      <c r="A217">
        <v>6124</v>
      </c>
      <c r="B217" t="s">
        <v>2038</v>
      </c>
      <c r="C217" s="46">
        <v>182237</v>
      </c>
      <c r="D217" s="46">
        <v>164015</v>
      </c>
      <c r="E217" s="46">
        <v>188627</v>
      </c>
      <c r="F217">
        <v>11.1</v>
      </c>
      <c r="G217">
        <v>-3.38</v>
      </c>
      <c r="H217" s="46">
        <v>1433651</v>
      </c>
      <c r="I217" s="46">
        <v>1641173</v>
      </c>
      <c r="J217">
        <v>-12.64</v>
      </c>
      <c r="K217">
        <v>1</v>
      </c>
    </row>
    <row r="218" spans="1:11" customFormat="1" hidden="1">
      <c r="A218">
        <v>6123</v>
      </c>
      <c r="B218" t="s">
        <v>1997</v>
      </c>
      <c r="C218" s="46">
        <v>325609</v>
      </c>
      <c r="D218" s="46">
        <v>338396</v>
      </c>
      <c r="E218" s="46">
        <v>375133</v>
      </c>
      <c r="F218">
        <v>-3.77</v>
      </c>
      <c r="G218">
        <v>-13.2</v>
      </c>
      <c r="H218" s="46">
        <v>3000494</v>
      </c>
      <c r="I218" s="46">
        <v>3389764</v>
      </c>
      <c r="J218">
        <v>-11.48</v>
      </c>
      <c r="K218">
        <v>1</v>
      </c>
    </row>
    <row r="219" spans="1:11" customFormat="1" hidden="1">
      <c r="A219">
        <v>6122</v>
      </c>
      <c r="B219" t="s">
        <v>2126</v>
      </c>
      <c r="C219" s="46">
        <v>88493</v>
      </c>
      <c r="D219" s="46">
        <v>70810</v>
      </c>
      <c r="E219" s="46">
        <v>79451</v>
      </c>
      <c r="F219">
        <v>24.97</v>
      </c>
      <c r="G219">
        <v>11.38</v>
      </c>
      <c r="H219" s="46">
        <v>847190</v>
      </c>
      <c r="I219" s="46">
        <v>1043232</v>
      </c>
      <c r="J219">
        <v>-18.79</v>
      </c>
      <c r="K219">
        <v>0</v>
      </c>
    </row>
    <row r="220" spans="1:11" customFormat="1" hidden="1">
      <c r="A220">
        <v>6121</v>
      </c>
      <c r="B220" t="s">
        <v>454</v>
      </c>
      <c r="C220" s="46">
        <v>6023894</v>
      </c>
      <c r="D220" s="46">
        <v>5684182</v>
      </c>
      <c r="E220" s="46">
        <v>5957048</v>
      </c>
      <c r="F220">
        <v>5.97</v>
      </c>
      <c r="G220">
        <v>1.1200000000000001</v>
      </c>
      <c r="H220" s="46">
        <v>52823890</v>
      </c>
      <c r="I220" s="46">
        <v>46941262</v>
      </c>
      <c r="J220">
        <v>12.53</v>
      </c>
      <c r="K220">
        <v>1</v>
      </c>
    </row>
    <row r="221" spans="1:11" customFormat="1" hidden="1">
      <c r="A221">
        <v>6118</v>
      </c>
      <c r="B221" t="s">
        <v>2212</v>
      </c>
      <c r="C221" s="46">
        <v>563504</v>
      </c>
      <c r="D221" s="46">
        <v>559716</v>
      </c>
      <c r="E221" s="46">
        <v>691733</v>
      </c>
      <c r="F221">
        <v>0.67</v>
      </c>
      <c r="G221">
        <v>-18.53</v>
      </c>
      <c r="H221" s="46">
        <v>5986349</v>
      </c>
      <c r="I221" s="46">
        <v>6682598</v>
      </c>
      <c r="J221">
        <v>-10.41</v>
      </c>
      <c r="K221" s="242">
        <v>0</v>
      </c>
    </row>
    <row r="222" spans="1:11" customFormat="1" hidden="1">
      <c r="A222">
        <v>6114</v>
      </c>
      <c r="B222" t="s">
        <v>2199</v>
      </c>
      <c r="C222" s="46">
        <v>151182</v>
      </c>
      <c r="D222" s="46">
        <v>158860</v>
      </c>
      <c r="E222" s="46">
        <v>146267</v>
      </c>
      <c r="F222">
        <v>-4.83</v>
      </c>
      <c r="G222">
        <v>3.36</v>
      </c>
      <c r="H222" s="46">
        <v>1479485</v>
      </c>
      <c r="I222" s="46">
        <v>567195</v>
      </c>
      <c r="J222">
        <v>160.84</v>
      </c>
      <c r="K222" s="242">
        <v>0</v>
      </c>
    </row>
    <row r="223" spans="1:11" customFormat="1" hidden="1">
      <c r="A223">
        <v>6113</v>
      </c>
      <c r="B223" t="s">
        <v>2211</v>
      </c>
      <c r="C223" s="46">
        <v>145993</v>
      </c>
      <c r="D223" s="46">
        <v>123331</v>
      </c>
      <c r="E223" s="46">
        <v>163996</v>
      </c>
      <c r="F223">
        <v>18.37</v>
      </c>
      <c r="G223">
        <v>-10.97</v>
      </c>
      <c r="H223" s="46">
        <v>1394011</v>
      </c>
      <c r="I223" s="46">
        <v>1372936</v>
      </c>
      <c r="J223">
        <v>1.53</v>
      </c>
      <c r="K223" s="242">
        <v>0</v>
      </c>
    </row>
    <row r="224" spans="1:11" customFormat="1" hidden="1">
      <c r="A224">
        <v>6111</v>
      </c>
      <c r="B224" t="s">
        <v>2256</v>
      </c>
      <c r="C224" s="46">
        <v>40418</v>
      </c>
      <c r="D224" s="46">
        <v>104988</v>
      </c>
      <c r="E224" s="46">
        <v>37893</v>
      </c>
      <c r="F224">
        <v>-61.5</v>
      </c>
      <c r="G224">
        <v>6.66</v>
      </c>
      <c r="H224" s="46">
        <v>650464</v>
      </c>
      <c r="I224" s="46">
        <v>273360</v>
      </c>
      <c r="J224">
        <v>137.94999999999999</v>
      </c>
      <c r="K224" s="242">
        <v>0</v>
      </c>
    </row>
    <row r="225" spans="1:11" customFormat="1" hidden="1">
      <c r="A225">
        <v>6109</v>
      </c>
      <c r="B225" t="s">
        <v>2013</v>
      </c>
      <c r="C225" s="46">
        <v>153922</v>
      </c>
      <c r="D225" s="46">
        <v>167240</v>
      </c>
      <c r="E225" s="46">
        <v>133829</v>
      </c>
      <c r="F225">
        <v>-7.96</v>
      </c>
      <c r="G225">
        <v>15.01</v>
      </c>
      <c r="H225" s="46">
        <v>1684652</v>
      </c>
      <c r="I225" s="46">
        <v>1891732</v>
      </c>
      <c r="J225">
        <v>-10.94</v>
      </c>
      <c r="K225">
        <v>0</v>
      </c>
    </row>
    <row r="226" spans="1:11" customFormat="1" hidden="1">
      <c r="A226">
        <v>6107</v>
      </c>
      <c r="B226" t="s">
        <v>2198</v>
      </c>
      <c r="C226" s="46">
        <v>528764</v>
      </c>
      <c r="D226" s="46">
        <v>737040</v>
      </c>
      <c r="E226" s="46">
        <v>339178</v>
      </c>
      <c r="F226">
        <v>-28.25</v>
      </c>
      <c r="G226">
        <v>55.89</v>
      </c>
      <c r="H226" s="46">
        <v>5478748</v>
      </c>
      <c r="I226" s="46">
        <v>4993387</v>
      </c>
      <c r="J226">
        <v>9.7200000000000006</v>
      </c>
      <c r="K226">
        <v>0</v>
      </c>
    </row>
    <row r="227" spans="1:11" customFormat="1" hidden="1">
      <c r="A227">
        <v>6105</v>
      </c>
      <c r="B227" t="s">
        <v>2155</v>
      </c>
      <c r="C227" s="46">
        <v>467099</v>
      </c>
      <c r="D227" s="46">
        <v>516885</v>
      </c>
      <c r="E227" s="46">
        <v>548159</v>
      </c>
      <c r="F227">
        <v>-9.6300000000000008</v>
      </c>
      <c r="G227">
        <v>-14.78</v>
      </c>
      <c r="H227" s="46">
        <v>4686247</v>
      </c>
      <c r="I227" s="46">
        <v>4803813</v>
      </c>
      <c r="J227">
        <v>-2.44</v>
      </c>
      <c r="K227">
        <v>0</v>
      </c>
    </row>
    <row r="228" spans="1:11" customFormat="1" hidden="1">
      <c r="A228">
        <v>6104</v>
      </c>
      <c r="B228" t="s">
        <v>1979</v>
      </c>
      <c r="C228" s="46">
        <v>150804</v>
      </c>
      <c r="D228" s="46">
        <v>151949</v>
      </c>
      <c r="E228" s="46">
        <v>222834</v>
      </c>
      <c r="F228">
        <v>-0.75</v>
      </c>
      <c r="G228">
        <v>-32.32</v>
      </c>
      <c r="H228" s="46">
        <v>1564552</v>
      </c>
      <c r="I228" s="46">
        <v>1896431</v>
      </c>
      <c r="J228">
        <v>-17.5</v>
      </c>
      <c r="K228">
        <v>0</v>
      </c>
    </row>
    <row r="229" spans="1:11" customFormat="1">
      <c r="A229" s="62" t="str">
        <f>HYPERLINK("http://tw.stock.yahoo.com/q/ta?s=1566","1566")</f>
        <v>1566</v>
      </c>
      <c r="B229" s="62" t="str">
        <f>HYPERLINK("http://tw.stock.yahoo.com/d/s/earning_1566.html","捷邦")</f>
        <v>捷邦</v>
      </c>
      <c r="C229" s="46">
        <v>466637</v>
      </c>
      <c r="D229" s="46">
        <v>439140</v>
      </c>
      <c r="E229" s="46">
        <v>152774</v>
      </c>
      <c r="F229">
        <v>6.26</v>
      </c>
      <c r="G229">
        <v>205.44</v>
      </c>
      <c r="H229" s="46">
        <v>3548628</v>
      </c>
      <c r="I229" s="46">
        <v>1576772</v>
      </c>
      <c r="J229">
        <v>125.05</v>
      </c>
      <c r="K229">
        <v>1</v>
      </c>
    </row>
    <row r="230" spans="1:11" customFormat="1" hidden="1">
      <c r="A230">
        <v>6101</v>
      </c>
      <c r="B230" t="s">
        <v>1708</v>
      </c>
      <c r="C230" s="46">
        <v>41966</v>
      </c>
      <c r="D230" s="46">
        <v>29239</v>
      </c>
      <c r="E230" s="46">
        <v>106259</v>
      </c>
      <c r="F230">
        <v>43.52</v>
      </c>
      <c r="G230">
        <v>-60.5</v>
      </c>
      <c r="H230" s="46">
        <v>416016</v>
      </c>
      <c r="I230" s="46">
        <v>989481</v>
      </c>
      <c r="J230">
        <v>-57.95</v>
      </c>
      <c r="K230">
        <v>0</v>
      </c>
    </row>
    <row r="231" spans="1:11" customFormat="1" hidden="1">
      <c r="A231">
        <v>6024</v>
      </c>
      <c r="B231" t="s">
        <v>453</v>
      </c>
      <c r="C231" s="46">
        <v>129147</v>
      </c>
      <c r="D231" s="46">
        <v>145655</v>
      </c>
      <c r="E231" s="46">
        <v>136530</v>
      </c>
      <c r="F231">
        <v>-11.33</v>
      </c>
      <c r="G231">
        <v>-5.4</v>
      </c>
      <c r="H231" s="46">
        <v>1278306</v>
      </c>
      <c r="I231" s="46">
        <v>1040540</v>
      </c>
      <c r="J231">
        <v>22.85</v>
      </c>
      <c r="K231" s="242">
        <v>0</v>
      </c>
    </row>
    <row r="232" spans="1:11" customFormat="1" hidden="1">
      <c r="A232">
        <v>6023</v>
      </c>
      <c r="B232" t="s">
        <v>2084</v>
      </c>
      <c r="C232" s="46">
        <v>227077</v>
      </c>
      <c r="D232" s="46">
        <v>252328</v>
      </c>
      <c r="E232" s="46">
        <v>229894</v>
      </c>
      <c r="F232">
        <v>-10</v>
      </c>
      <c r="G232">
        <v>-1.22</v>
      </c>
      <c r="H232" s="46">
        <v>2370735</v>
      </c>
      <c r="I232" s="46">
        <v>1832397</v>
      </c>
      <c r="J232">
        <v>29.37</v>
      </c>
      <c r="K232">
        <v>0</v>
      </c>
    </row>
    <row r="233" spans="1:11" customFormat="1" hidden="1">
      <c r="A233">
        <v>6022</v>
      </c>
      <c r="B233" t="s">
        <v>2113</v>
      </c>
      <c r="C233" s="46">
        <v>109310</v>
      </c>
      <c r="D233" s="46">
        <v>43625</v>
      </c>
      <c r="E233" s="46">
        <v>16228</v>
      </c>
      <c r="F233">
        <v>150.56</v>
      </c>
      <c r="G233">
        <v>573.58000000000004</v>
      </c>
      <c r="H233" s="46">
        <v>664454</v>
      </c>
      <c r="I233" s="46">
        <v>819038</v>
      </c>
      <c r="J233">
        <v>-18.87</v>
      </c>
      <c r="K233">
        <v>1</v>
      </c>
    </row>
    <row r="234" spans="1:11" customFormat="1" hidden="1">
      <c r="A234">
        <v>6021</v>
      </c>
      <c r="B234" t="s">
        <v>452</v>
      </c>
      <c r="C234" s="46">
        <v>47705</v>
      </c>
      <c r="D234" s="46">
        <v>46678</v>
      </c>
      <c r="E234" s="46">
        <v>-27422</v>
      </c>
      <c r="F234">
        <v>2.2000000000000002</v>
      </c>
      <c r="G234">
        <v>273.95999999999998</v>
      </c>
      <c r="H234" s="46">
        <v>345599</v>
      </c>
      <c r="I234" s="46">
        <v>423207</v>
      </c>
      <c r="J234">
        <v>-18.329999999999998</v>
      </c>
      <c r="K234">
        <v>1</v>
      </c>
    </row>
    <row r="235" spans="1:11" customFormat="1" hidden="1">
      <c r="A235">
        <v>6020</v>
      </c>
      <c r="B235" t="s">
        <v>451</v>
      </c>
      <c r="C235" s="46">
        <v>22955</v>
      </c>
      <c r="D235" s="46">
        <v>31520</v>
      </c>
      <c r="E235" s="46">
        <v>-65128</v>
      </c>
      <c r="F235">
        <v>-27.17</v>
      </c>
      <c r="G235">
        <v>135.24</v>
      </c>
      <c r="H235" s="46">
        <v>49942</v>
      </c>
      <c r="I235" s="46">
        <v>242281</v>
      </c>
      <c r="J235">
        <v>-79.38</v>
      </c>
      <c r="K235">
        <v>1</v>
      </c>
    </row>
    <row r="236" spans="1:11" customFormat="1" hidden="1">
      <c r="A236">
        <v>6016</v>
      </c>
      <c r="B236" t="s">
        <v>2242</v>
      </c>
      <c r="C236" s="46">
        <v>228323</v>
      </c>
      <c r="D236" s="46">
        <v>259816</v>
      </c>
      <c r="E236" s="46">
        <v>85632</v>
      </c>
      <c r="F236">
        <v>-12.12</v>
      </c>
      <c r="G236">
        <v>166.63</v>
      </c>
      <c r="H236" s="46">
        <v>1988553</v>
      </c>
      <c r="I236" s="46">
        <v>1912749</v>
      </c>
      <c r="J236">
        <v>3.96</v>
      </c>
      <c r="K236">
        <v>1</v>
      </c>
    </row>
    <row r="237" spans="1:11" customFormat="1" hidden="1">
      <c r="A237">
        <v>6015</v>
      </c>
      <c r="B237" t="s">
        <v>2083</v>
      </c>
      <c r="C237" s="46">
        <v>68822</v>
      </c>
      <c r="D237" s="46">
        <v>109985</v>
      </c>
      <c r="E237" s="46">
        <v>4203</v>
      </c>
      <c r="F237">
        <v>-37.42</v>
      </c>
      <c r="G237" s="233">
        <v>1537.44</v>
      </c>
      <c r="H237" s="46">
        <v>374685</v>
      </c>
      <c r="I237" s="46">
        <v>851925</v>
      </c>
      <c r="J237">
        <v>-56.01</v>
      </c>
      <c r="K237">
        <v>1</v>
      </c>
    </row>
    <row r="238" spans="1:11" customFormat="1" hidden="1">
      <c r="A238">
        <v>5905</v>
      </c>
      <c r="B238" t="s">
        <v>1703</v>
      </c>
      <c r="C238" s="46">
        <v>131071</v>
      </c>
      <c r="D238" s="46">
        <v>120320</v>
      </c>
      <c r="E238" s="46">
        <v>151534</v>
      </c>
      <c r="F238">
        <v>8.93</v>
      </c>
      <c r="G238">
        <v>-13.5</v>
      </c>
      <c r="H238" s="46">
        <v>1351566</v>
      </c>
      <c r="I238" s="46">
        <v>1453376</v>
      </c>
      <c r="J238">
        <v>-7</v>
      </c>
      <c r="K238">
        <v>0</v>
      </c>
    </row>
    <row r="239" spans="1:11" customFormat="1" hidden="1">
      <c r="A239">
        <v>5904</v>
      </c>
      <c r="B239" t="s">
        <v>450</v>
      </c>
      <c r="C239" s="46">
        <v>922398</v>
      </c>
      <c r="D239" s="46">
        <v>964314</v>
      </c>
      <c r="E239" s="46">
        <v>801992</v>
      </c>
      <c r="F239">
        <v>-4.34</v>
      </c>
      <c r="G239">
        <v>15.01</v>
      </c>
      <c r="H239" s="46">
        <v>8761897</v>
      </c>
      <c r="I239" s="46">
        <v>7397705</v>
      </c>
      <c r="J239">
        <v>18.440000000000001</v>
      </c>
      <c r="K239">
        <v>1</v>
      </c>
    </row>
    <row r="240" spans="1:11" customFormat="1" hidden="1">
      <c r="A240">
        <v>5903</v>
      </c>
      <c r="B240" t="s">
        <v>2087</v>
      </c>
      <c r="C240" s="46">
        <v>4982054</v>
      </c>
      <c r="D240" s="46">
        <v>4889420</v>
      </c>
      <c r="E240" s="46">
        <v>4700599</v>
      </c>
      <c r="F240">
        <v>1.89</v>
      </c>
      <c r="G240">
        <v>5.98</v>
      </c>
      <c r="H240" s="46">
        <v>48407710</v>
      </c>
      <c r="I240" s="46">
        <v>47143565</v>
      </c>
      <c r="J240">
        <v>2.68</v>
      </c>
      <c r="K240" s="242">
        <v>0</v>
      </c>
    </row>
    <row r="241" spans="1:11" customFormat="1" hidden="1">
      <c r="A241">
        <v>5902</v>
      </c>
      <c r="B241" t="s">
        <v>449</v>
      </c>
      <c r="C241" s="46">
        <v>148923</v>
      </c>
      <c r="D241" s="46">
        <v>164571</v>
      </c>
      <c r="E241" s="46">
        <v>158806</v>
      </c>
      <c r="F241">
        <v>-9.5</v>
      </c>
      <c r="G241">
        <v>-6.22</v>
      </c>
      <c r="H241" s="46">
        <v>1654211</v>
      </c>
      <c r="I241" s="46">
        <v>1719101</v>
      </c>
      <c r="J241">
        <v>-3.77</v>
      </c>
      <c r="K241" s="242">
        <v>0</v>
      </c>
    </row>
    <row r="242" spans="1:11" customFormat="1" hidden="1">
      <c r="A242">
        <v>5878</v>
      </c>
      <c r="B242" t="s">
        <v>448</v>
      </c>
      <c r="C242" s="46">
        <v>55279</v>
      </c>
      <c r="D242" s="46">
        <v>60518</v>
      </c>
      <c r="E242" s="46">
        <v>56324</v>
      </c>
      <c r="F242">
        <v>-8.65</v>
      </c>
      <c r="G242">
        <v>-1.85</v>
      </c>
      <c r="H242" s="46">
        <v>495801</v>
      </c>
      <c r="I242" s="46">
        <v>438140</v>
      </c>
      <c r="J242">
        <v>13.16</v>
      </c>
      <c r="K242" s="242">
        <v>1</v>
      </c>
    </row>
    <row r="243" spans="1:11" customFormat="1" hidden="1">
      <c r="A243">
        <v>5820</v>
      </c>
      <c r="B243" t="s">
        <v>2082</v>
      </c>
      <c r="C243" s="46">
        <v>646329</v>
      </c>
      <c r="D243" s="46">
        <v>681354</v>
      </c>
      <c r="E243" s="46">
        <v>586205</v>
      </c>
      <c r="F243">
        <v>-5.14</v>
      </c>
      <c r="G243">
        <v>10.25</v>
      </c>
      <c r="H243" s="46">
        <v>6313354</v>
      </c>
      <c r="I243" s="46">
        <v>6629706</v>
      </c>
      <c r="J243">
        <v>-4.7699999999999996</v>
      </c>
      <c r="K243">
        <v>0</v>
      </c>
    </row>
    <row r="244" spans="1:11" customFormat="1" hidden="1">
      <c r="A244">
        <v>5704</v>
      </c>
      <c r="B244" t="s">
        <v>2081</v>
      </c>
      <c r="C244" s="46">
        <v>27781</v>
      </c>
      <c r="D244" s="46">
        <v>22701</v>
      </c>
      <c r="E244" s="46">
        <v>30738</v>
      </c>
      <c r="F244">
        <v>22.37</v>
      </c>
      <c r="G244">
        <v>-9.6199999999999992</v>
      </c>
      <c r="H244" s="46">
        <v>271524</v>
      </c>
      <c r="I244" s="46">
        <v>291698</v>
      </c>
      <c r="J244">
        <v>-6.91</v>
      </c>
      <c r="K244">
        <v>0</v>
      </c>
    </row>
    <row r="245" spans="1:11" customFormat="1" hidden="1">
      <c r="A245">
        <v>5703</v>
      </c>
      <c r="B245" t="s">
        <v>2112</v>
      </c>
      <c r="C245" s="46">
        <v>91017</v>
      </c>
      <c r="D245" s="46">
        <v>79144</v>
      </c>
      <c r="E245" s="46">
        <v>87373</v>
      </c>
      <c r="F245">
        <v>15</v>
      </c>
      <c r="G245">
        <v>4.17</v>
      </c>
      <c r="H245" s="46">
        <v>840750</v>
      </c>
      <c r="I245" s="46">
        <v>843353</v>
      </c>
      <c r="J245">
        <v>-0.3</v>
      </c>
      <c r="K245" s="242">
        <v>1</v>
      </c>
    </row>
    <row r="246" spans="1:11" customFormat="1" hidden="1">
      <c r="A246">
        <v>5701</v>
      </c>
      <c r="B246" t="s">
        <v>1698</v>
      </c>
      <c r="C246" s="46">
        <v>132287</v>
      </c>
      <c r="D246" s="46">
        <v>152884</v>
      </c>
      <c r="E246" s="46">
        <v>126280</v>
      </c>
      <c r="F246">
        <v>-13.47</v>
      </c>
      <c r="G246">
        <v>4.75</v>
      </c>
      <c r="H246" s="46">
        <v>1315387</v>
      </c>
      <c r="I246" s="46">
        <v>1343872</v>
      </c>
      <c r="J246">
        <v>-2.11</v>
      </c>
      <c r="K246">
        <v>0</v>
      </c>
    </row>
    <row r="247" spans="1:11" customFormat="1" hidden="1">
      <c r="A247">
        <v>5609</v>
      </c>
      <c r="B247" t="s">
        <v>447</v>
      </c>
      <c r="C247" s="46">
        <v>1307650</v>
      </c>
      <c r="D247" s="46">
        <v>1263306</v>
      </c>
      <c r="E247" s="46">
        <v>1375070</v>
      </c>
      <c r="F247">
        <v>3.51</v>
      </c>
      <c r="G247">
        <v>-4.9000000000000004</v>
      </c>
      <c r="H247" s="46">
        <v>12210081</v>
      </c>
      <c r="I247" s="46">
        <v>12971818</v>
      </c>
      <c r="J247">
        <v>-5.87</v>
      </c>
      <c r="K247" s="242">
        <v>1</v>
      </c>
    </row>
    <row r="248" spans="1:11" customFormat="1" hidden="1">
      <c r="A248">
        <v>5604</v>
      </c>
      <c r="B248" t="s">
        <v>2078</v>
      </c>
      <c r="C248" s="46">
        <v>125189</v>
      </c>
      <c r="D248" s="46">
        <v>115380</v>
      </c>
      <c r="E248" s="46">
        <v>136417</v>
      </c>
      <c r="F248">
        <v>8.5</v>
      </c>
      <c r="G248">
        <v>-8.23</v>
      </c>
      <c r="H248" s="46">
        <v>1198766</v>
      </c>
      <c r="I248" s="46">
        <v>1281408</v>
      </c>
      <c r="J248">
        <v>-6.44</v>
      </c>
      <c r="K248">
        <v>0</v>
      </c>
    </row>
    <row r="249" spans="1:11" customFormat="1" hidden="1">
      <c r="A249">
        <v>5603</v>
      </c>
      <c r="B249" t="s">
        <v>446</v>
      </c>
      <c r="C249" s="46">
        <v>184540</v>
      </c>
      <c r="D249" s="46">
        <v>151998</v>
      </c>
      <c r="E249" s="46">
        <v>209565</v>
      </c>
      <c r="F249">
        <v>21.4</v>
      </c>
      <c r="G249">
        <v>-11.94</v>
      </c>
      <c r="H249" s="46">
        <v>1695931</v>
      </c>
      <c r="I249" s="46">
        <v>2082070</v>
      </c>
      <c r="J249">
        <v>-18.54</v>
      </c>
      <c r="K249">
        <v>1</v>
      </c>
    </row>
    <row r="250" spans="1:11" customFormat="1" hidden="1">
      <c r="A250">
        <v>5601</v>
      </c>
      <c r="B250" t="s">
        <v>2077</v>
      </c>
      <c r="C250" s="46">
        <v>6316</v>
      </c>
      <c r="D250" s="46">
        <v>6294</v>
      </c>
      <c r="E250" s="46">
        <v>6032</v>
      </c>
      <c r="F250">
        <v>0.34</v>
      </c>
      <c r="G250">
        <v>4.7</v>
      </c>
      <c r="H250" s="46">
        <v>62610</v>
      </c>
      <c r="I250" s="46">
        <v>56928</v>
      </c>
      <c r="J250">
        <v>9.98</v>
      </c>
      <c r="K250">
        <v>0</v>
      </c>
    </row>
    <row r="251" spans="1:11" customFormat="1" hidden="1">
      <c r="A251">
        <v>5536</v>
      </c>
      <c r="B251" t="s">
        <v>445</v>
      </c>
      <c r="C251" s="46">
        <v>957940</v>
      </c>
      <c r="D251" s="46">
        <v>900729</v>
      </c>
      <c r="E251" s="46">
        <v>691907</v>
      </c>
      <c r="F251">
        <v>6.35</v>
      </c>
      <c r="G251">
        <v>38.44</v>
      </c>
      <c r="H251" s="46">
        <v>6818938</v>
      </c>
      <c r="I251" s="46">
        <v>6150141</v>
      </c>
      <c r="J251">
        <v>10.87</v>
      </c>
      <c r="K251">
        <v>1</v>
      </c>
    </row>
    <row r="252" spans="1:11" customFormat="1" hidden="1">
      <c r="A252">
        <v>5530</v>
      </c>
      <c r="B252" t="s">
        <v>1695</v>
      </c>
      <c r="C252" s="46">
        <v>327893</v>
      </c>
      <c r="D252" s="46">
        <v>292919</v>
      </c>
      <c r="E252" s="46">
        <v>697996</v>
      </c>
      <c r="F252">
        <v>11.93</v>
      </c>
      <c r="G252">
        <v>-53.02</v>
      </c>
      <c r="H252" s="46">
        <v>3057597</v>
      </c>
      <c r="I252" s="46">
        <v>4459245</v>
      </c>
      <c r="J252">
        <v>-31.43</v>
      </c>
      <c r="K252" s="242">
        <v>1</v>
      </c>
    </row>
    <row r="253" spans="1:11" customFormat="1" hidden="1">
      <c r="A253">
        <v>5529</v>
      </c>
      <c r="B253" t="s">
        <v>2356</v>
      </c>
      <c r="C253" s="46">
        <v>491</v>
      </c>
      <c r="D253" s="46">
        <v>466</v>
      </c>
      <c r="E253" s="46">
        <v>227</v>
      </c>
      <c r="F253">
        <v>5.36</v>
      </c>
      <c r="G253">
        <v>116.29</v>
      </c>
      <c r="H253" s="46">
        <v>19756</v>
      </c>
      <c r="I253" s="46">
        <v>341982</v>
      </c>
      <c r="J253">
        <v>-94.22</v>
      </c>
      <c r="K253">
        <v>0</v>
      </c>
    </row>
    <row r="254" spans="1:11" customFormat="1" hidden="1">
      <c r="A254">
        <v>5523</v>
      </c>
      <c r="B254" t="s">
        <v>444</v>
      </c>
      <c r="C254" s="46">
        <v>299</v>
      </c>
      <c r="D254" s="46">
        <v>299</v>
      </c>
      <c r="E254" s="46">
        <v>1845</v>
      </c>
      <c r="F254">
        <v>0</v>
      </c>
      <c r="G254">
        <v>-83.79</v>
      </c>
      <c r="H254" s="46">
        <v>2618</v>
      </c>
      <c r="I254" s="46">
        <v>60317</v>
      </c>
      <c r="J254">
        <v>-95.65</v>
      </c>
      <c r="K254">
        <v>1</v>
      </c>
    </row>
    <row r="255" spans="1:11" customFormat="1" hidden="1">
      <c r="A255">
        <v>5520</v>
      </c>
      <c r="B255" t="s">
        <v>2238</v>
      </c>
      <c r="C255" s="46">
        <v>193111</v>
      </c>
      <c r="D255" s="46">
        <v>178351</v>
      </c>
      <c r="E255" s="46">
        <v>217207</v>
      </c>
      <c r="F255">
        <v>8.27</v>
      </c>
      <c r="G255">
        <v>-11.09</v>
      </c>
      <c r="H255" s="46">
        <v>1933476</v>
      </c>
      <c r="I255" s="46">
        <v>2015105</v>
      </c>
      <c r="J255">
        <v>-4.05</v>
      </c>
      <c r="K255">
        <v>0</v>
      </c>
    </row>
    <row r="256" spans="1:11" customFormat="1" hidden="1">
      <c r="A256">
        <v>5516</v>
      </c>
      <c r="B256" t="s">
        <v>2075</v>
      </c>
      <c r="C256" s="46">
        <v>40999</v>
      </c>
      <c r="D256" s="46">
        <v>88804</v>
      </c>
      <c r="E256" s="46">
        <v>29217</v>
      </c>
      <c r="F256">
        <v>-53.83</v>
      </c>
      <c r="G256">
        <v>40.32</v>
      </c>
      <c r="H256" s="46">
        <v>458594</v>
      </c>
      <c r="I256" s="46">
        <v>459729</v>
      </c>
      <c r="J256">
        <v>-0.24</v>
      </c>
      <c r="K256">
        <v>0</v>
      </c>
    </row>
    <row r="257" spans="1:11" customFormat="1" hidden="1">
      <c r="A257">
        <v>5514</v>
      </c>
      <c r="B257" t="s">
        <v>2074</v>
      </c>
      <c r="C257" s="46">
        <v>384</v>
      </c>
      <c r="D257" s="46">
        <v>384</v>
      </c>
      <c r="E257" s="46">
        <v>30930</v>
      </c>
      <c r="F257">
        <v>0</v>
      </c>
      <c r="G257">
        <v>-98.75</v>
      </c>
      <c r="H257" s="46">
        <v>3789</v>
      </c>
      <c r="I257" s="46">
        <v>1491663</v>
      </c>
      <c r="J257">
        <v>-99.74</v>
      </c>
      <c r="K257">
        <v>0</v>
      </c>
    </row>
    <row r="258" spans="1:11" customFormat="1" hidden="1">
      <c r="A258">
        <v>5512</v>
      </c>
      <c r="B258" t="s">
        <v>443</v>
      </c>
      <c r="C258" s="46">
        <v>144057</v>
      </c>
      <c r="D258" s="46">
        <v>149087</v>
      </c>
      <c r="E258" s="46">
        <v>341272</v>
      </c>
      <c r="F258">
        <v>-3.37</v>
      </c>
      <c r="G258">
        <v>-57.78</v>
      </c>
      <c r="H258" s="46">
        <v>1387089</v>
      </c>
      <c r="I258" s="46">
        <v>5834748</v>
      </c>
      <c r="J258">
        <v>-76.22</v>
      </c>
      <c r="K258">
        <v>0</v>
      </c>
    </row>
    <row r="259" spans="1:11" customFormat="1" hidden="1">
      <c r="A259">
        <v>5511</v>
      </c>
      <c r="B259" t="s">
        <v>2111</v>
      </c>
      <c r="C259" s="46">
        <v>295278</v>
      </c>
      <c r="D259" s="46">
        <v>268321</v>
      </c>
      <c r="E259" s="46">
        <v>413458</v>
      </c>
      <c r="F259">
        <v>10.039999999999999</v>
      </c>
      <c r="G259">
        <v>-28.58</v>
      </c>
      <c r="H259" s="46">
        <v>3051317</v>
      </c>
      <c r="I259" s="46">
        <v>3731127</v>
      </c>
      <c r="J259">
        <v>-18.21</v>
      </c>
      <c r="K259" s="242">
        <v>0</v>
      </c>
    </row>
    <row r="260" spans="1:11" customFormat="1" hidden="1">
      <c r="A260">
        <v>5508</v>
      </c>
      <c r="B260" t="s">
        <v>2073</v>
      </c>
      <c r="C260" s="46">
        <v>92497</v>
      </c>
      <c r="D260" s="46">
        <v>175594</v>
      </c>
      <c r="E260" s="46">
        <v>125350</v>
      </c>
      <c r="F260">
        <v>-47.32</v>
      </c>
      <c r="G260">
        <v>-26.2</v>
      </c>
      <c r="H260" s="46">
        <v>1513113</v>
      </c>
      <c r="I260" s="46">
        <v>3588769</v>
      </c>
      <c r="J260" s="233">
        <v>-57.83</v>
      </c>
      <c r="K260" s="242">
        <v>0</v>
      </c>
    </row>
    <row r="261" spans="1:11" customFormat="1" hidden="1">
      <c r="A261">
        <v>5506</v>
      </c>
      <c r="B261" t="s">
        <v>442</v>
      </c>
      <c r="C261" s="46">
        <v>78541</v>
      </c>
      <c r="D261" s="46">
        <v>217080</v>
      </c>
      <c r="E261" s="46">
        <v>264998</v>
      </c>
      <c r="F261">
        <v>-63.81</v>
      </c>
      <c r="G261">
        <v>-70.36</v>
      </c>
      <c r="H261" s="46">
        <v>2935566</v>
      </c>
      <c r="I261" s="46">
        <v>3090965</v>
      </c>
      <c r="J261">
        <v>-5.0199999999999996</v>
      </c>
      <c r="K261">
        <v>0</v>
      </c>
    </row>
    <row r="262" spans="1:11" customFormat="1" hidden="1">
      <c r="A262">
        <v>5498</v>
      </c>
      <c r="B262" t="s">
        <v>2107</v>
      </c>
      <c r="C262" s="46">
        <v>65140</v>
      </c>
      <c r="D262" s="46">
        <v>74789</v>
      </c>
      <c r="E262" s="46">
        <v>99094</v>
      </c>
      <c r="F262">
        <v>-12.9</v>
      </c>
      <c r="G262">
        <v>-34.26</v>
      </c>
      <c r="H262" s="46">
        <v>739066</v>
      </c>
      <c r="I262" s="46">
        <v>1108603</v>
      </c>
      <c r="J262">
        <v>-33.33</v>
      </c>
      <c r="K262" s="242">
        <v>0</v>
      </c>
    </row>
    <row r="263" spans="1:11" customFormat="1" hidden="1">
      <c r="A263">
        <v>5493</v>
      </c>
      <c r="B263" t="s">
        <v>2068</v>
      </c>
      <c r="C263" s="46">
        <v>148079</v>
      </c>
      <c r="D263" s="46">
        <v>151564</v>
      </c>
      <c r="E263" s="46">
        <v>147002</v>
      </c>
      <c r="F263">
        <v>-2.29</v>
      </c>
      <c r="G263">
        <v>0.73</v>
      </c>
      <c r="H263" s="46">
        <v>1918069</v>
      </c>
      <c r="I263" s="46">
        <v>1495281</v>
      </c>
      <c r="J263">
        <v>28.27</v>
      </c>
      <c r="K263" s="242">
        <v>0</v>
      </c>
    </row>
    <row r="264" spans="1:11" customFormat="1" hidden="1">
      <c r="A264">
        <v>5491</v>
      </c>
      <c r="B264" t="s">
        <v>2037</v>
      </c>
      <c r="C264" s="46">
        <v>665002</v>
      </c>
      <c r="D264" s="46">
        <v>729422</v>
      </c>
      <c r="E264" s="46">
        <v>779286</v>
      </c>
      <c r="F264">
        <v>-8.83</v>
      </c>
      <c r="G264">
        <v>-14.66</v>
      </c>
      <c r="H264" s="46">
        <v>6682785</v>
      </c>
      <c r="I264" s="46">
        <v>7721619</v>
      </c>
      <c r="J264">
        <v>-13.45</v>
      </c>
      <c r="K264">
        <v>0</v>
      </c>
    </row>
    <row r="265" spans="1:11" customFormat="1" hidden="1">
      <c r="A265">
        <v>5490</v>
      </c>
      <c r="B265" t="s">
        <v>441</v>
      </c>
      <c r="C265" s="46">
        <v>249276</v>
      </c>
      <c r="D265" s="46">
        <v>196477</v>
      </c>
      <c r="E265" s="46">
        <v>271268</v>
      </c>
      <c r="F265">
        <v>26.87</v>
      </c>
      <c r="G265">
        <v>-8.1</v>
      </c>
      <c r="H265" s="46">
        <v>2559928</v>
      </c>
      <c r="I265" s="46">
        <v>1442508</v>
      </c>
      <c r="J265">
        <v>77.459999999999994</v>
      </c>
      <c r="K265">
        <v>0</v>
      </c>
    </row>
    <row r="266" spans="1:11" customFormat="1" hidden="1">
      <c r="A266">
        <v>5489</v>
      </c>
      <c r="B266" t="s">
        <v>2067</v>
      </c>
      <c r="C266" s="46">
        <v>210058</v>
      </c>
      <c r="D266" s="46">
        <v>212666</v>
      </c>
      <c r="E266" s="46">
        <v>263501</v>
      </c>
      <c r="F266">
        <v>-1.22</v>
      </c>
      <c r="G266">
        <v>-20.28</v>
      </c>
      <c r="H266" s="46">
        <v>1902049</v>
      </c>
      <c r="I266" s="46">
        <v>2215493</v>
      </c>
      <c r="J266">
        <v>-14.14</v>
      </c>
      <c r="K266">
        <v>1</v>
      </c>
    </row>
    <row r="267" spans="1:11" customFormat="1" hidden="1">
      <c r="A267">
        <v>5488</v>
      </c>
      <c r="B267" t="s">
        <v>2036</v>
      </c>
      <c r="C267" s="46">
        <v>142750</v>
      </c>
      <c r="D267" s="46">
        <v>150522</v>
      </c>
      <c r="E267" s="46">
        <v>172301</v>
      </c>
      <c r="F267">
        <v>-5.16</v>
      </c>
      <c r="G267">
        <v>-17.149999999999999</v>
      </c>
      <c r="H267" s="46">
        <v>1630827</v>
      </c>
      <c r="I267" s="46">
        <v>1725492</v>
      </c>
      <c r="J267">
        <v>-5.48</v>
      </c>
      <c r="K267">
        <v>0</v>
      </c>
    </row>
    <row r="268" spans="1:11" customFormat="1" hidden="1">
      <c r="A268">
        <v>5487</v>
      </c>
      <c r="B268" t="s">
        <v>440</v>
      </c>
      <c r="C268" s="46">
        <v>27999</v>
      </c>
      <c r="D268" s="46">
        <v>26431</v>
      </c>
      <c r="E268" s="46">
        <v>29498</v>
      </c>
      <c r="F268">
        <v>5.93</v>
      </c>
      <c r="G268">
        <v>-5.08</v>
      </c>
      <c r="H268" s="46">
        <v>258028</v>
      </c>
      <c r="I268" s="46">
        <v>261767</v>
      </c>
      <c r="J268">
        <v>-1.42</v>
      </c>
      <c r="K268">
        <v>1</v>
      </c>
    </row>
    <row r="269" spans="1:11" customFormat="1" hidden="1">
      <c r="A269">
        <v>5483</v>
      </c>
      <c r="B269" t="s">
        <v>1978</v>
      </c>
      <c r="C269" s="46">
        <v>2335770</v>
      </c>
      <c r="D269" s="46">
        <v>2474008</v>
      </c>
      <c r="E269" s="46">
        <v>2451203</v>
      </c>
      <c r="F269">
        <v>-5.58</v>
      </c>
      <c r="G269">
        <v>-4.7</v>
      </c>
      <c r="H269" s="46">
        <v>23606212</v>
      </c>
      <c r="I269" s="46">
        <v>23013481</v>
      </c>
      <c r="J269">
        <v>2.57</v>
      </c>
      <c r="K269">
        <v>0</v>
      </c>
    </row>
    <row r="270" spans="1:11" customFormat="1" hidden="1">
      <c r="A270">
        <v>5481</v>
      </c>
      <c r="B270" t="s">
        <v>2035</v>
      </c>
      <c r="C270" s="46">
        <v>136</v>
      </c>
      <c r="D270" s="46">
        <v>383</v>
      </c>
      <c r="E270" s="46">
        <v>17502</v>
      </c>
      <c r="F270">
        <v>-64.489999999999995</v>
      </c>
      <c r="G270">
        <v>-99.22</v>
      </c>
      <c r="H270" s="46">
        <v>75127</v>
      </c>
      <c r="I270" s="46">
        <v>210710</v>
      </c>
      <c r="J270">
        <v>-64.34</v>
      </c>
      <c r="K270">
        <v>0</v>
      </c>
    </row>
    <row r="271" spans="1:11" customFormat="1" hidden="1">
      <c r="A271">
        <v>5480</v>
      </c>
      <c r="B271" t="s">
        <v>2197</v>
      </c>
      <c r="C271" s="46">
        <v>567179</v>
      </c>
      <c r="D271" s="46">
        <v>572235</v>
      </c>
      <c r="E271" s="46">
        <v>563233</v>
      </c>
      <c r="F271">
        <v>-0.88</v>
      </c>
      <c r="G271">
        <v>0.7</v>
      </c>
      <c r="H271" s="46">
        <v>5066631</v>
      </c>
      <c r="I271" s="46">
        <v>5477236</v>
      </c>
      <c r="J271">
        <v>-7.49</v>
      </c>
      <c r="K271">
        <v>1</v>
      </c>
    </row>
    <row r="272" spans="1:11" customFormat="1" hidden="1">
      <c r="A272">
        <v>5478</v>
      </c>
      <c r="B272" t="s">
        <v>439</v>
      </c>
      <c r="C272" s="46">
        <v>1232702</v>
      </c>
      <c r="D272" s="46">
        <v>1132739</v>
      </c>
      <c r="E272" s="46">
        <v>1107199</v>
      </c>
      <c r="F272">
        <v>8.82</v>
      </c>
      <c r="G272">
        <v>11.33</v>
      </c>
      <c r="H272" s="46">
        <v>12458411</v>
      </c>
      <c r="I272" s="46">
        <v>12511465</v>
      </c>
      <c r="J272">
        <v>-0.42</v>
      </c>
      <c r="K272">
        <v>0</v>
      </c>
    </row>
    <row r="273" spans="1:11" customFormat="1" hidden="1">
      <c r="A273">
        <v>5475</v>
      </c>
      <c r="B273" t="s">
        <v>2034</v>
      </c>
      <c r="C273" s="46">
        <v>186471</v>
      </c>
      <c r="D273" s="46">
        <v>204856</v>
      </c>
      <c r="E273" s="46">
        <v>236535</v>
      </c>
      <c r="F273">
        <v>-8.9700000000000006</v>
      </c>
      <c r="G273">
        <v>-21.16</v>
      </c>
      <c r="H273" s="46">
        <v>2042046</v>
      </c>
      <c r="I273" s="46">
        <v>2475929</v>
      </c>
      <c r="J273">
        <v>-17.52</v>
      </c>
      <c r="K273">
        <v>0</v>
      </c>
    </row>
    <row r="274" spans="1:11" customFormat="1" hidden="1">
      <c r="A274">
        <v>5474</v>
      </c>
      <c r="B274" t="s">
        <v>2154</v>
      </c>
      <c r="C274" s="46">
        <v>78263</v>
      </c>
      <c r="D274" s="46">
        <v>117886</v>
      </c>
      <c r="E274" s="46">
        <v>95341</v>
      </c>
      <c r="F274">
        <v>-33.61</v>
      </c>
      <c r="G274">
        <v>-17.91</v>
      </c>
      <c r="H274" s="46">
        <v>855451</v>
      </c>
      <c r="I274" s="46">
        <v>574447</v>
      </c>
      <c r="J274">
        <v>48.91</v>
      </c>
      <c r="K274">
        <v>0</v>
      </c>
    </row>
    <row r="275" spans="1:11" customFormat="1" hidden="1">
      <c r="A275">
        <v>5468</v>
      </c>
      <c r="B275" t="s">
        <v>438</v>
      </c>
      <c r="C275" s="46">
        <v>29158</v>
      </c>
      <c r="D275" s="46">
        <v>36820</v>
      </c>
      <c r="E275" s="46">
        <v>36658</v>
      </c>
      <c r="F275">
        <v>-20.8</v>
      </c>
      <c r="G275">
        <v>-20.45</v>
      </c>
      <c r="H275" s="46">
        <v>384110</v>
      </c>
      <c r="I275" s="46">
        <v>395427</v>
      </c>
      <c r="J275">
        <v>-2.86</v>
      </c>
      <c r="K275" s="242">
        <v>0</v>
      </c>
    </row>
    <row r="276" spans="1:11" customFormat="1" hidden="1">
      <c r="A276">
        <v>5465</v>
      </c>
      <c r="B276" t="s">
        <v>437</v>
      </c>
      <c r="C276" s="46">
        <v>180002</v>
      </c>
      <c r="D276" s="46">
        <v>180981</v>
      </c>
      <c r="E276" s="46">
        <v>235431</v>
      </c>
      <c r="F276">
        <v>-0.54</v>
      </c>
      <c r="G276">
        <v>-23.54</v>
      </c>
      <c r="H276" s="46">
        <v>2047026</v>
      </c>
      <c r="I276" s="46">
        <v>1897740</v>
      </c>
      <c r="J276">
        <v>7.86</v>
      </c>
      <c r="K276" s="242">
        <v>0</v>
      </c>
    </row>
    <row r="277" spans="1:11" customFormat="1" hidden="1">
      <c r="A277">
        <v>5464</v>
      </c>
      <c r="B277" t="s">
        <v>2033</v>
      </c>
      <c r="C277" s="46">
        <v>115524</v>
      </c>
      <c r="D277" s="46">
        <v>78892</v>
      </c>
      <c r="E277" s="46">
        <v>130406</v>
      </c>
      <c r="F277">
        <v>46.43</v>
      </c>
      <c r="G277">
        <v>-11.41</v>
      </c>
      <c r="H277" s="46">
        <v>1137397</v>
      </c>
      <c r="I277" s="46">
        <v>1224176</v>
      </c>
      <c r="J277">
        <v>-7.08</v>
      </c>
      <c r="K277">
        <v>0</v>
      </c>
    </row>
    <row r="278" spans="1:11" customFormat="1" hidden="1">
      <c r="A278">
        <v>5460</v>
      </c>
      <c r="B278" t="s">
        <v>2032</v>
      </c>
      <c r="C278" s="46">
        <v>67174</v>
      </c>
      <c r="D278" s="46">
        <v>68720</v>
      </c>
      <c r="E278" s="46">
        <v>88336</v>
      </c>
      <c r="F278">
        <v>-2.2400000000000002</v>
      </c>
      <c r="G278">
        <v>-23.95</v>
      </c>
      <c r="H278" s="46">
        <v>805338</v>
      </c>
      <c r="I278" s="46">
        <v>895437</v>
      </c>
      <c r="J278">
        <v>-10.06</v>
      </c>
      <c r="K278" s="242">
        <v>0</v>
      </c>
    </row>
    <row r="279" spans="1:11" customFormat="1" hidden="1">
      <c r="A279">
        <v>5457</v>
      </c>
      <c r="B279" t="s">
        <v>436</v>
      </c>
      <c r="C279" s="46">
        <v>181896</v>
      </c>
      <c r="D279" s="46">
        <v>214168</v>
      </c>
      <c r="E279" s="46">
        <v>195505</v>
      </c>
      <c r="F279">
        <v>-15.06</v>
      </c>
      <c r="G279">
        <v>-6.96</v>
      </c>
      <c r="H279" s="46">
        <v>1930047</v>
      </c>
      <c r="I279" s="46">
        <v>1688356</v>
      </c>
      <c r="J279">
        <v>14.31</v>
      </c>
      <c r="K279">
        <v>0</v>
      </c>
    </row>
    <row r="280" spans="1:11" customFormat="1" hidden="1">
      <c r="A280">
        <v>5455</v>
      </c>
      <c r="B280" t="s">
        <v>435</v>
      </c>
      <c r="C280" s="46">
        <v>2035</v>
      </c>
      <c r="D280" s="46">
        <v>522</v>
      </c>
      <c r="E280" s="46">
        <v>2999</v>
      </c>
      <c r="F280">
        <v>289.83999999999997</v>
      </c>
      <c r="G280">
        <v>-32.14</v>
      </c>
      <c r="H280" s="46">
        <v>15223</v>
      </c>
      <c r="I280" s="46">
        <v>29967</v>
      </c>
      <c r="J280">
        <v>-49.2</v>
      </c>
      <c r="K280">
        <v>1</v>
      </c>
    </row>
    <row r="281" spans="1:11" customFormat="1" hidden="1">
      <c r="A281">
        <v>5452</v>
      </c>
      <c r="B281" t="s">
        <v>434</v>
      </c>
      <c r="C281" s="46">
        <v>437584</v>
      </c>
      <c r="D281" s="46">
        <v>510505</v>
      </c>
      <c r="E281" s="46">
        <v>525053</v>
      </c>
      <c r="F281">
        <v>-14.28</v>
      </c>
      <c r="G281">
        <v>-16.649999999999999</v>
      </c>
      <c r="H281" s="46">
        <v>4677997</v>
      </c>
      <c r="I281" s="46">
        <v>6106730</v>
      </c>
      <c r="J281">
        <v>-23.39</v>
      </c>
      <c r="K281">
        <v>0</v>
      </c>
    </row>
    <row r="282" spans="1:11" customFormat="1" hidden="1">
      <c r="A282">
        <v>5450</v>
      </c>
      <c r="B282" t="s">
        <v>433</v>
      </c>
      <c r="C282" s="46">
        <v>60227</v>
      </c>
      <c r="D282" s="46">
        <v>74028</v>
      </c>
      <c r="E282" s="46">
        <v>61486</v>
      </c>
      <c r="F282">
        <v>-18.64</v>
      </c>
      <c r="G282">
        <v>-2.04</v>
      </c>
      <c r="H282" s="46">
        <v>617259</v>
      </c>
      <c r="I282" s="46">
        <v>696843</v>
      </c>
      <c r="J282">
        <v>-11.42</v>
      </c>
      <c r="K282">
        <v>0</v>
      </c>
    </row>
    <row r="283" spans="1:11" customFormat="1" hidden="1">
      <c r="A283">
        <v>5443</v>
      </c>
      <c r="B283" t="s">
        <v>2173</v>
      </c>
      <c r="C283" s="46">
        <v>321557</v>
      </c>
      <c r="D283" s="46">
        <v>389635</v>
      </c>
      <c r="E283" s="46">
        <v>132796</v>
      </c>
      <c r="F283">
        <v>-17.47</v>
      </c>
      <c r="G283">
        <v>142.13999999999999</v>
      </c>
      <c r="H283" s="46">
        <v>3014571</v>
      </c>
      <c r="I283" s="46">
        <v>2131079</v>
      </c>
      <c r="J283">
        <v>41.45</v>
      </c>
      <c r="K283">
        <v>1</v>
      </c>
    </row>
    <row r="284" spans="1:11" customFormat="1" hidden="1">
      <c r="A284">
        <v>5439</v>
      </c>
      <c r="B284" t="s">
        <v>432</v>
      </c>
      <c r="C284" s="46">
        <v>150721</v>
      </c>
      <c r="D284" s="46">
        <v>170363</v>
      </c>
      <c r="E284" s="46">
        <v>140811</v>
      </c>
      <c r="F284">
        <v>-11.52</v>
      </c>
      <c r="G284">
        <v>7.03</v>
      </c>
      <c r="H284" s="46">
        <v>1530498</v>
      </c>
      <c r="I284" s="46">
        <v>1520082</v>
      </c>
      <c r="J284">
        <v>0.68</v>
      </c>
      <c r="K284">
        <v>0</v>
      </c>
    </row>
    <row r="285" spans="1:11" customFormat="1" hidden="1">
      <c r="A285">
        <v>5438</v>
      </c>
      <c r="B285" t="s">
        <v>2153</v>
      </c>
      <c r="C285" s="46">
        <v>193972</v>
      </c>
      <c r="D285" s="46">
        <v>268961</v>
      </c>
      <c r="E285" s="46">
        <v>133715</v>
      </c>
      <c r="F285">
        <v>-27.88</v>
      </c>
      <c r="G285">
        <v>45.06</v>
      </c>
      <c r="H285" s="46">
        <v>2043216</v>
      </c>
      <c r="I285" s="46">
        <v>2143853</v>
      </c>
      <c r="J285">
        <v>-4.6900000000000004</v>
      </c>
      <c r="K285">
        <v>0</v>
      </c>
    </row>
    <row r="286" spans="1:11" customFormat="1" hidden="1">
      <c r="A286">
        <v>5432</v>
      </c>
      <c r="B286" t="s">
        <v>2005</v>
      </c>
      <c r="C286" s="46">
        <v>9840</v>
      </c>
      <c r="D286" s="46">
        <v>8720</v>
      </c>
      <c r="E286" s="46">
        <v>13215</v>
      </c>
      <c r="F286">
        <v>12.84</v>
      </c>
      <c r="G286">
        <v>-25.53</v>
      </c>
      <c r="H286" s="46">
        <v>104454</v>
      </c>
      <c r="I286" s="46">
        <v>122157</v>
      </c>
      <c r="J286">
        <v>-14.49</v>
      </c>
      <c r="K286">
        <v>0</v>
      </c>
    </row>
    <row r="287" spans="1:11" customFormat="1" hidden="1">
      <c r="A287">
        <v>5426</v>
      </c>
      <c r="B287" t="s">
        <v>431</v>
      </c>
      <c r="C287" s="46">
        <v>134891</v>
      </c>
      <c r="D287" s="46">
        <v>135289</v>
      </c>
      <c r="E287" s="46">
        <v>162638</v>
      </c>
      <c r="F287">
        <v>-0.28999999999999998</v>
      </c>
      <c r="G287">
        <v>-17.059999999999999</v>
      </c>
      <c r="H287" s="46">
        <v>1354618</v>
      </c>
      <c r="I287" s="46">
        <v>1557713</v>
      </c>
      <c r="J287">
        <v>-13.03</v>
      </c>
      <c r="K287" s="242">
        <v>0</v>
      </c>
    </row>
    <row r="288" spans="1:11" customFormat="1" hidden="1">
      <c r="A288">
        <v>5425</v>
      </c>
      <c r="B288" t="s">
        <v>430</v>
      </c>
      <c r="C288" s="46">
        <v>733170</v>
      </c>
      <c r="D288" s="46">
        <v>648001</v>
      </c>
      <c r="E288" s="46">
        <v>602560</v>
      </c>
      <c r="F288">
        <v>13.14</v>
      </c>
      <c r="G288">
        <v>21.67</v>
      </c>
      <c r="H288" s="46">
        <v>6417270</v>
      </c>
      <c r="I288" s="46">
        <v>6433254</v>
      </c>
      <c r="J288">
        <v>-0.24</v>
      </c>
      <c r="K288" s="242">
        <v>1</v>
      </c>
    </row>
    <row r="289" spans="1:11" customFormat="1" hidden="1">
      <c r="A289">
        <v>5410</v>
      </c>
      <c r="B289" t="s">
        <v>2221</v>
      </c>
      <c r="C289" s="46">
        <v>237693</v>
      </c>
      <c r="D289" s="46">
        <v>280687</v>
      </c>
      <c r="E289" s="46">
        <v>200848</v>
      </c>
      <c r="F289">
        <v>-15.31</v>
      </c>
      <c r="G289">
        <v>18.34</v>
      </c>
      <c r="H289" s="46">
        <v>1788193</v>
      </c>
      <c r="I289" s="46">
        <v>1805898</v>
      </c>
      <c r="J289">
        <v>-0.98</v>
      </c>
      <c r="K289" s="242">
        <v>1</v>
      </c>
    </row>
    <row r="290" spans="1:11" customFormat="1" hidden="1">
      <c r="A290">
        <v>5403</v>
      </c>
      <c r="B290" t="s">
        <v>2061</v>
      </c>
      <c r="C290" s="46">
        <v>107794</v>
      </c>
      <c r="D290" s="46">
        <v>106731</v>
      </c>
      <c r="E290" s="46">
        <v>113544</v>
      </c>
      <c r="F290">
        <v>0.99</v>
      </c>
      <c r="G290">
        <v>-5.0599999999999996</v>
      </c>
      <c r="H290" s="46">
        <v>1045106</v>
      </c>
      <c r="I290" s="46">
        <v>1028095</v>
      </c>
      <c r="J290">
        <v>1.65</v>
      </c>
      <c r="K290">
        <v>0</v>
      </c>
    </row>
    <row r="291" spans="1:11" customFormat="1" hidden="1">
      <c r="A291">
        <v>5398</v>
      </c>
      <c r="B291" t="s">
        <v>429</v>
      </c>
      <c r="C291" s="46">
        <v>16465</v>
      </c>
      <c r="D291" s="46">
        <v>19830</v>
      </c>
      <c r="E291" s="46">
        <v>18301</v>
      </c>
      <c r="F291">
        <v>-16.96</v>
      </c>
      <c r="G291">
        <v>-10.029999999999999</v>
      </c>
      <c r="H291" s="46">
        <v>186199</v>
      </c>
      <c r="I291" s="46">
        <v>221607</v>
      </c>
      <c r="J291">
        <v>-15.97</v>
      </c>
      <c r="K291" s="242">
        <v>0</v>
      </c>
    </row>
    <row r="292" spans="1:11" customFormat="1" hidden="1">
      <c r="A292">
        <v>5395</v>
      </c>
      <c r="B292" t="s">
        <v>2241</v>
      </c>
      <c r="C292" s="46">
        <v>91444</v>
      </c>
      <c r="D292" s="46">
        <v>75979</v>
      </c>
      <c r="E292" s="46">
        <v>3133</v>
      </c>
      <c r="F292">
        <v>20.350000000000001</v>
      </c>
      <c r="G292" s="233">
        <v>2818.73</v>
      </c>
      <c r="H292" s="46">
        <v>887092</v>
      </c>
      <c r="I292" s="46">
        <v>32841</v>
      </c>
      <c r="J292" s="233">
        <v>2601.17</v>
      </c>
      <c r="K292">
        <v>0</v>
      </c>
    </row>
    <row r="293" spans="1:11" customFormat="1">
      <c r="A293" s="62" t="str">
        <f>HYPERLINK("http://tw.stock.yahoo.com/q/ta?s=5206","5206")</f>
        <v>5206</v>
      </c>
      <c r="B293" s="62" t="str">
        <f>HYPERLINK("http://tw.stock.yahoo.com/d/s/earning_5206.html","坤悅")</f>
        <v>坤悅</v>
      </c>
      <c r="C293" s="46">
        <v>564233</v>
      </c>
      <c r="D293" s="46">
        <v>39323</v>
      </c>
      <c r="E293" s="46">
        <v>25136</v>
      </c>
      <c r="F293" s="233">
        <v>1334.86</v>
      </c>
      <c r="G293" s="233">
        <v>2144.7199999999998</v>
      </c>
      <c r="H293" s="46">
        <v>1447022</v>
      </c>
      <c r="I293" s="46">
        <v>657869</v>
      </c>
      <c r="J293">
        <v>119.95</v>
      </c>
      <c r="K293">
        <v>1</v>
      </c>
    </row>
    <row r="294" spans="1:11" customFormat="1" hidden="1">
      <c r="A294">
        <v>5386</v>
      </c>
      <c r="B294" t="s">
        <v>2152</v>
      </c>
      <c r="C294" s="46">
        <v>146626</v>
      </c>
      <c r="D294" s="46">
        <v>90187</v>
      </c>
      <c r="E294" s="46">
        <v>88652</v>
      </c>
      <c r="F294" s="233">
        <v>62.57</v>
      </c>
      <c r="G294">
        <v>65.39</v>
      </c>
      <c r="H294" s="46">
        <v>1483154</v>
      </c>
      <c r="I294" s="46">
        <v>638840</v>
      </c>
      <c r="J294">
        <v>132.16</v>
      </c>
      <c r="K294">
        <v>0</v>
      </c>
    </row>
    <row r="295" spans="1:11" customFormat="1" hidden="1">
      <c r="A295">
        <v>5384</v>
      </c>
      <c r="B295" t="s">
        <v>428</v>
      </c>
      <c r="C295" s="46">
        <v>1054575</v>
      </c>
      <c r="D295" s="46">
        <v>995061</v>
      </c>
      <c r="E295" s="46">
        <v>860005</v>
      </c>
      <c r="F295">
        <v>5.98</v>
      </c>
      <c r="G295">
        <v>22.62</v>
      </c>
      <c r="H295" s="46">
        <v>9403727</v>
      </c>
      <c r="I295" s="46">
        <v>8825269</v>
      </c>
      <c r="J295">
        <v>6.55</v>
      </c>
      <c r="K295">
        <v>1</v>
      </c>
    </row>
    <row r="296" spans="1:11" customFormat="1" hidden="1">
      <c r="A296">
        <v>5383</v>
      </c>
      <c r="B296" t="s">
        <v>2066</v>
      </c>
      <c r="C296" s="46">
        <v>63404</v>
      </c>
      <c r="D296" s="46">
        <v>81083</v>
      </c>
      <c r="E296" s="46">
        <v>68032</v>
      </c>
      <c r="F296">
        <v>-21.8</v>
      </c>
      <c r="G296">
        <v>-6.8</v>
      </c>
      <c r="H296" s="46">
        <v>706177</v>
      </c>
      <c r="I296" s="46">
        <v>868518</v>
      </c>
      <c r="J296">
        <v>-18.690000000000001</v>
      </c>
      <c r="K296">
        <v>0</v>
      </c>
    </row>
    <row r="297" spans="1:11" customFormat="1" hidden="1">
      <c r="A297">
        <v>5381</v>
      </c>
      <c r="B297" t="s">
        <v>2196</v>
      </c>
      <c r="C297" s="46">
        <v>48614</v>
      </c>
      <c r="D297" s="46">
        <v>55838</v>
      </c>
      <c r="E297" s="46">
        <v>130124</v>
      </c>
      <c r="F297">
        <v>-12.93</v>
      </c>
      <c r="G297">
        <v>-62.64</v>
      </c>
      <c r="H297" s="46">
        <v>899863</v>
      </c>
      <c r="I297" s="46">
        <v>1137101</v>
      </c>
      <c r="J297">
        <v>-20.86</v>
      </c>
      <c r="K297">
        <v>0</v>
      </c>
    </row>
    <row r="298" spans="1:11" customFormat="1" hidden="1">
      <c r="A298">
        <v>5371</v>
      </c>
      <c r="B298" t="s">
        <v>427</v>
      </c>
      <c r="C298" s="46">
        <v>6087819</v>
      </c>
      <c r="D298" s="46">
        <v>6591478</v>
      </c>
      <c r="E298" s="46">
        <v>6759723</v>
      </c>
      <c r="F298">
        <v>-7.64</v>
      </c>
      <c r="G298">
        <v>-9.93</v>
      </c>
      <c r="H298" s="46">
        <v>57169726</v>
      </c>
      <c r="I298" s="46">
        <v>68586570</v>
      </c>
      <c r="J298">
        <v>-16.64</v>
      </c>
      <c r="K298">
        <v>1</v>
      </c>
    </row>
    <row r="299" spans="1:11" customFormat="1">
      <c r="A299" s="62" t="str">
        <f>HYPERLINK("http://tw.stock.yahoo.com/q/ta?s=8266","8266")</f>
        <v>8266</v>
      </c>
      <c r="B299" s="62" t="str">
        <f>HYPERLINK("http://tw.stock.yahoo.com/d/s/earning_8266.html","中日新")</f>
        <v>中日新</v>
      </c>
      <c r="C299" s="46">
        <v>442027</v>
      </c>
      <c r="D299" s="46">
        <v>268890</v>
      </c>
      <c r="E299" s="46">
        <v>342143</v>
      </c>
      <c r="F299">
        <v>64.38</v>
      </c>
      <c r="G299">
        <v>29.19</v>
      </c>
      <c r="H299" s="46">
        <v>2381090</v>
      </c>
      <c r="I299" s="46">
        <v>1116801</v>
      </c>
      <c r="J299">
        <v>113.2</v>
      </c>
      <c r="K299">
        <v>1</v>
      </c>
    </row>
    <row r="300" spans="1:11" customFormat="1" hidden="1">
      <c r="A300">
        <v>5356</v>
      </c>
      <c r="B300" t="s">
        <v>1996</v>
      </c>
      <c r="C300" s="46">
        <v>657196</v>
      </c>
      <c r="D300" s="46">
        <v>819439</v>
      </c>
      <c r="E300" s="46">
        <v>699857</v>
      </c>
      <c r="F300">
        <v>-19.79</v>
      </c>
      <c r="G300">
        <v>-6.09</v>
      </c>
      <c r="H300" s="46">
        <v>7745684</v>
      </c>
      <c r="I300" s="46">
        <v>7757392</v>
      </c>
      <c r="J300">
        <v>-0.15</v>
      </c>
      <c r="K300">
        <v>0</v>
      </c>
    </row>
    <row r="301" spans="1:11" customFormat="1" hidden="1">
      <c r="A301">
        <v>5355</v>
      </c>
      <c r="B301" t="s">
        <v>425</v>
      </c>
      <c r="C301" s="46">
        <v>90269</v>
      </c>
      <c r="D301" s="46">
        <v>100069</v>
      </c>
      <c r="E301" s="46">
        <v>130333</v>
      </c>
      <c r="F301">
        <v>-9.7899999999999991</v>
      </c>
      <c r="G301">
        <v>-30.73</v>
      </c>
      <c r="H301" s="46">
        <v>1177597</v>
      </c>
      <c r="I301" s="46">
        <v>1347491</v>
      </c>
      <c r="J301">
        <v>-12.6</v>
      </c>
      <c r="K301">
        <v>0</v>
      </c>
    </row>
    <row r="302" spans="1:11" customFormat="1" hidden="1">
      <c r="A302">
        <v>5353</v>
      </c>
      <c r="B302" t="s">
        <v>2183</v>
      </c>
      <c r="C302" s="46">
        <v>92141</v>
      </c>
      <c r="D302" s="46">
        <v>75463</v>
      </c>
      <c r="E302" s="46">
        <v>108655</v>
      </c>
      <c r="F302">
        <v>22.1</v>
      </c>
      <c r="G302">
        <v>-15.19</v>
      </c>
      <c r="H302" s="46">
        <v>911355</v>
      </c>
      <c r="I302" s="46">
        <v>1024624</v>
      </c>
      <c r="J302">
        <v>-11.05</v>
      </c>
      <c r="K302">
        <v>0</v>
      </c>
    </row>
    <row r="303" spans="1:11" customFormat="1" hidden="1">
      <c r="A303">
        <v>5351</v>
      </c>
      <c r="B303" t="s">
        <v>1977</v>
      </c>
      <c r="C303" s="46">
        <v>575825</v>
      </c>
      <c r="D303" s="46">
        <v>585328</v>
      </c>
      <c r="E303" s="46">
        <v>676862</v>
      </c>
      <c r="F303">
        <v>-1.62</v>
      </c>
      <c r="G303">
        <v>-14.92</v>
      </c>
      <c r="H303" s="46">
        <v>6257384</v>
      </c>
      <c r="I303" s="46">
        <v>6253763</v>
      </c>
      <c r="J303">
        <v>0.05</v>
      </c>
      <c r="K303">
        <v>0</v>
      </c>
    </row>
    <row r="304" spans="1:11" customFormat="1" hidden="1">
      <c r="A304">
        <v>5349</v>
      </c>
      <c r="B304" t="s">
        <v>2031</v>
      </c>
      <c r="C304" s="46">
        <v>642005</v>
      </c>
      <c r="D304" s="46">
        <v>605497</v>
      </c>
      <c r="E304" s="46">
        <v>767664</v>
      </c>
      <c r="F304">
        <v>6.02</v>
      </c>
      <c r="G304">
        <v>-16.36</v>
      </c>
      <c r="H304" s="46">
        <v>6569701</v>
      </c>
      <c r="I304" s="46">
        <v>6637948</v>
      </c>
      <c r="J304">
        <v>-1.02</v>
      </c>
      <c r="K304">
        <v>0</v>
      </c>
    </row>
    <row r="305" spans="1:11" customFormat="1" hidden="1">
      <c r="A305">
        <v>5348</v>
      </c>
      <c r="B305" t="s">
        <v>2182</v>
      </c>
      <c r="C305" s="46">
        <v>25131</v>
      </c>
      <c r="D305" s="46">
        <v>18686</v>
      </c>
      <c r="E305" s="46">
        <v>19664</v>
      </c>
      <c r="F305">
        <v>34.49</v>
      </c>
      <c r="G305">
        <v>27.8</v>
      </c>
      <c r="H305" s="46">
        <v>170739</v>
      </c>
      <c r="I305" s="46">
        <v>169013</v>
      </c>
      <c r="J305">
        <v>1.02</v>
      </c>
      <c r="K305">
        <v>1</v>
      </c>
    </row>
    <row r="306" spans="1:11" customFormat="1" hidden="1">
      <c r="A306">
        <v>5347</v>
      </c>
      <c r="B306" t="s">
        <v>424</v>
      </c>
      <c r="C306" s="46">
        <v>1897237</v>
      </c>
      <c r="D306" s="46">
        <v>1767913</v>
      </c>
      <c r="E306" s="46">
        <v>2151548</v>
      </c>
      <c r="F306">
        <v>7.31</v>
      </c>
      <c r="G306">
        <v>-11.81</v>
      </c>
      <c r="H306" s="46">
        <v>19734961</v>
      </c>
      <c r="I306" s="46">
        <v>19664996</v>
      </c>
      <c r="J306">
        <v>0.35</v>
      </c>
      <c r="K306">
        <v>0</v>
      </c>
    </row>
    <row r="307" spans="1:11" customFormat="1" hidden="1">
      <c r="A307">
        <v>5345</v>
      </c>
      <c r="B307" t="s">
        <v>423</v>
      </c>
      <c r="C307" s="46">
        <v>9352</v>
      </c>
      <c r="D307" s="46">
        <v>11188</v>
      </c>
      <c r="E307" s="46">
        <v>6384</v>
      </c>
      <c r="F307">
        <v>-16.41</v>
      </c>
      <c r="G307">
        <v>46.49</v>
      </c>
      <c r="H307" s="46">
        <v>106531</v>
      </c>
      <c r="I307" s="46">
        <v>165095</v>
      </c>
      <c r="J307">
        <v>-35.47</v>
      </c>
      <c r="K307">
        <v>0</v>
      </c>
    </row>
    <row r="308" spans="1:11" customFormat="1" hidden="1">
      <c r="A308">
        <v>5344</v>
      </c>
      <c r="B308" t="s">
        <v>2145</v>
      </c>
      <c r="C308" s="46">
        <v>10517</v>
      </c>
      <c r="D308" s="46">
        <v>9788</v>
      </c>
      <c r="E308" s="46">
        <v>10724</v>
      </c>
      <c r="F308">
        <v>7.44</v>
      </c>
      <c r="G308">
        <v>-1.93</v>
      </c>
      <c r="H308" s="46">
        <v>106202</v>
      </c>
      <c r="I308" s="46">
        <v>120548</v>
      </c>
      <c r="J308">
        <v>-11.9</v>
      </c>
      <c r="K308">
        <v>0</v>
      </c>
    </row>
    <row r="309" spans="1:11" customFormat="1" hidden="1">
      <c r="A309">
        <v>5340</v>
      </c>
      <c r="B309" t="s">
        <v>2195</v>
      </c>
      <c r="C309" s="46">
        <v>70891</v>
      </c>
      <c r="D309" s="46">
        <v>77916</v>
      </c>
      <c r="E309" s="46">
        <v>72645</v>
      </c>
      <c r="F309">
        <v>-9.01</v>
      </c>
      <c r="G309">
        <v>-2.41</v>
      </c>
      <c r="H309" s="46">
        <v>786647</v>
      </c>
      <c r="I309" s="46">
        <v>877090</v>
      </c>
      <c r="J309">
        <v>-10.31</v>
      </c>
      <c r="K309" s="242">
        <v>0</v>
      </c>
    </row>
    <row r="310" spans="1:11" customFormat="1" hidden="1">
      <c r="A310">
        <v>5328</v>
      </c>
      <c r="B310" t="s">
        <v>2194</v>
      </c>
      <c r="C310" s="46">
        <v>95368</v>
      </c>
      <c r="D310" s="46">
        <v>82714</v>
      </c>
      <c r="E310" s="46">
        <v>91675</v>
      </c>
      <c r="F310">
        <v>15.29</v>
      </c>
      <c r="G310">
        <v>4.0199999999999996</v>
      </c>
      <c r="H310" s="46">
        <v>858659</v>
      </c>
      <c r="I310" s="46">
        <v>1020519</v>
      </c>
      <c r="J310">
        <v>-15.86</v>
      </c>
      <c r="K310">
        <v>1</v>
      </c>
    </row>
    <row r="311" spans="1:11" customFormat="1" hidden="1">
      <c r="A311">
        <v>5324</v>
      </c>
      <c r="B311" t="s">
        <v>422</v>
      </c>
      <c r="C311" s="46">
        <v>11823</v>
      </c>
      <c r="D311" s="46">
        <v>13045</v>
      </c>
      <c r="E311" s="46">
        <v>11851</v>
      </c>
      <c r="F311">
        <v>-9.36</v>
      </c>
      <c r="G311">
        <v>-0.23</v>
      </c>
      <c r="H311" s="46">
        <v>118933</v>
      </c>
      <c r="I311" s="46">
        <v>145158</v>
      </c>
      <c r="J311">
        <v>-18.059999999999999</v>
      </c>
      <c r="K311" s="242">
        <v>0</v>
      </c>
    </row>
    <row r="312" spans="1:11" customFormat="1" hidden="1">
      <c r="A312">
        <v>5321</v>
      </c>
      <c r="B312" t="s">
        <v>2030</v>
      </c>
      <c r="C312" s="46">
        <v>91336</v>
      </c>
      <c r="D312" s="46">
        <v>89020</v>
      </c>
      <c r="E312" s="46">
        <v>126751</v>
      </c>
      <c r="F312">
        <v>2.6</v>
      </c>
      <c r="G312">
        <v>-27.94</v>
      </c>
      <c r="H312" s="46">
        <v>961187</v>
      </c>
      <c r="I312" s="46">
        <v>848374</v>
      </c>
      <c r="J312">
        <v>13.29</v>
      </c>
      <c r="K312">
        <v>0</v>
      </c>
    </row>
    <row r="313" spans="1:11" customFormat="1" hidden="1">
      <c r="A313">
        <v>5317</v>
      </c>
      <c r="B313" t="s">
        <v>421</v>
      </c>
      <c r="C313" s="46">
        <v>129564</v>
      </c>
      <c r="D313" s="46">
        <v>136923</v>
      </c>
      <c r="E313" s="46">
        <v>140410</v>
      </c>
      <c r="F313">
        <v>-5.37</v>
      </c>
      <c r="G313">
        <v>-7.72</v>
      </c>
      <c r="H313" s="46">
        <v>1366949</v>
      </c>
      <c r="I313" s="46">
        <v>1503904</v>
      </c>
      <c r="J313">
        <v>-9.1</v>
      </c>
      <c r="K313">
        <v>0</v>
      </c>
    </row>
    <row r="314" spans="1:11" customFormat="1" hidden="1">
      <c r="A314">
        <v>5315</v>
      </c>
      <c r="B314" t="s">
        <v>2004</v>
      </c>
      <c r="C314" s="46">
        <v>230783</v>
      </c>
      <c r="D314" s="46">
        <v>228159</v>
      </c>
      <c r="E314" s="46">
        <v>204366</v>
      </c>
      <c r="F314">
        <v>1.1499999999999999</v>
      </c>
      <c r="G314">
        <v>12.92</v>
      </c>
      <c r="H314" s="46">
        <v>2194854</v>
      </c>
      <c r="I314" s="46">
        <v>1848670</v>
      </c>
      <c r="J314">
        <v>18.72</v>
      </c>
      <c r="K314">
        <v>1</v>
      </c>
    </row>
    <row r="315" spans="1:11" customFormat="1" hidden="1">
      <c r="A315">
        <v>5314</v>
      </c>
      <c r="B315" t="s">
        <v>1976</v>
      </c>
      <c r="C315" s="46">
        <v>11930</v>
      </c>
      <c r="D315" s="46">
        <v>9925</v>
      </c>
      <c r="E315" s="46">
        <v>22625</v>
      </c>
      <c r="F315">
        <v>20.2</v>
      </c>
      <c r="G315">
        <v>-47.27</v>
      </c>
      <c r="H315" s="46">
        <v>132358</v>
      </c>
      <c r="I315" s="46">
        <v>188926</v>
      </c>
      <c r="J315">
        <v>-29.94</v>
      </c>
      <c r="K315">
        <v>0</v>
      </c>
    </row>
    <row r="316" spans="1:11" customFormat="1" hidden="1">
      <c r="A316">
        <v>5312</v>
      </c>
      <c r="B316" t="s">
        <v>420</v>
      </c>
      <c r="C316" s="46">
        <v>223099</v>
      </c>
      <c r="D316" s="46">
        <v>213729</v>
      </c>
      <c r="E316" s="46">
        <v>211089</v>
      </c>
      <c r="F316">
        <v>4.38</v>
      </c>
      <c r="G316">
        <v>5.68</v>
      </c>
      <c r="H316" s="46">
        <v>2139114</v>
      </c>
      <c r="I316" s="46">
        <v>2018499</v>
      </c>
      <c r="J316">
        <v>5.97</v>
      </c>
      <c r="K316">
        <v>0</v>
      </c>
    </row>
    <row r="317" spans="1:11" customFormat="1" hidden="1">
      <c r="A317">
        <v>5310</v>
      </c>
      <c r="B317" t="s">
        <v>2220</v>
      </c>
      <c r="C317" s="46">
        <v>27575</v>
      </c>
      <c r="D317" s="46">
        <v>24957</v>
      </c>
      <c r="E317" s="46">
        <v>24340</v>
      </c>
      <c r="F317">
        <v>10.49</v>
      </c>
      <c r="G317">
        <v>13.29</v>
      </c>
      <c r="H317" s="46">
        <v>222157</v>
      </c>
      <c r="I317" s="46">
        <v>225827</v>
      </c>
      <c r="J317" s="233">
        <v>-1.62</v>
      </c>
      <c r="K317">
        <v>1</v>
      </c>
    </row>
    <row r="318" spans="1:11" customFormat="1" hidden="1">
      <c r="A318">
        <v>5309</v>
      </c>
      <c r="B318" t="s">
        <v>2193</v>
      </c>
      <c r="C318" s="46">
        <v>259772</v>
      </c>
      <c r="D318" s="46">
        <v>153373</v>
      </c>
      <c r="E318" s="46">
        <v>189149</v>
      </c>
      <c r="F318">
        <v>69.37</v>
      </c>
      <c r="G318">
        <v>37.33</v>
      </c>
      <c r="H318" s="46">
        <v>1398837</v>
      </c>
      <c r="I318" s="46">
        <v>1759749</v>
      </c>
      <c r="J318">
        <v>-20.5</v>
      </c>
      <c r="K318">
        <v>1</v>
      </c>
    </row>
    <row r="319" spans="1:11" customFormat="1" hidden="1">
      <c r="A319">
        <v>5306</v>
      </c>
      <c r="B319" t="s">
        <v>1654</v>
      </c>
      <c r="C319" s="46">
        <v>268625</v>
      </c>
      <c r="D319" s="46">
        <v>291220</v>
      </c>
      <c r="E319" s="46">
        <v>246579</v>
      </c>
      <c r="F319">
        <v>-7.75</v>
      </c>
      <c r="G319">
        <v>8.94</v>
      </c>
      <c r="H319" s="46">
        <v>2730554</v>
      </c>
      <c r="I319" s="46">
        <v>2244579</v>
      </c>
      <c r="J319">
        <v>21.65</v>
      </c>
      <c r="K319">
        <v>0</v>
      </c>
    </row>
    <row r="320" spans="1:11" customFormat="1" hidden="1">
      <c r="A320">
        <v>5304</v>
      </c>
      <c r="B320" t="s">
        <v>419</v>
      </c>
      <c r="C320" s="46">
        <v>69008</v>
      </c>
      <c r="D320" s="46">
        <v>62803</v>
      </c>
      <c r="E320" s="46">
        <v>54115</v>
      </c>
      <c r="F320">
        <v>9.8800000000000008</v>
      </c>
      <c r="G320">
        <v>27.52</v>
      </c>
      <c r="H320" s="46">
        <v>693186</v>
      </c>
      <c r="I320" s="46">
        <v>590508</v>
      </c>
      <c r="J320">
        <v>17.38</v>
      </c>
      <c r="K320">
        <v>0</v>
      </c>
    </row>
    <row r="321" spans="1:11" customFormat="1" hidden="1">
      <c r="A321">
        <v>5302</v>
      </c>
      <c r="B321" t="s">
        <v>418</v>
      </c>
      <c r="C321" s="46">
        <v>14997</v>
      </c>
      <c r="D321" s="46">
        <v>16132</v>
      </c>
      <c r="E321" s="46">
        <v>15472</v>
      </c>
      <c r="F321">
        <v>-7.03</v>
      </c>
      <c r="G321">
        <v>-3.07</v>
      </c>
      <c r="H321" s="46">
        <v>174983</v>
      </c>
      <c r="I321" s="46">
        <v>156434</v>
      </c>
      <c r="J321">
        <v>11.85</v>
      </c>
      <c r="K321" s="242">
        <v>0</v>
      </c>
    </row>
    <row r="322" spans="1:11" customFormat="1">
      <c r="A322" s="62" t="str">
        <f>HYPERLINK("http://tw.stock.yahoo.com/q/ta?s=3687","3687")</f>
        <v>3687</v>
      </c>
      <c r="B322" s="62" t="str">
        <f>HYPERLINK("http://tw.stock.yahoo.com/d/s/earning_3687.html","歐買尬")</f>
        <v>歐買尬</v>
      </c>
      <c r="C322" s="46">
        <v>66204</v>
      </c>
      <c r="D322" s="46">
        <v>61504</v>
      </c>
      <c r="E322" s="46">
        <v>29212</v>
      </c>
      <c r="F322">
        <v>7.64</v>
      </c>
      <c r="G322">
        <v>126.63</v>
      </c>
      <c r="H322" s="46">
        <v>611266</v>
      </c>
      <c r="I322" s="46">
        <v>300381</v>
      </c>
      <c r="J322">
        <v>103.49</v>
      </c>
      <c r="K322" s="242">
        <v>1</v>
      </c>
    </row>
    <row r="323" spans="1:11" customFormat="1" hidden="1">
      <c r="A323">
        <v>5291</v>
      </c>
      <c r="B323" t="s">
        <v>416</v>
      </c>
      <c r="C323" s="46">
        <v>73048</v>
      </c>
      <c r="D323" s="46">
        <v>87526</v>
      </c>
      <c r="E323" s="46">
        <v>85982</v>
      </c>
      <c r="F323">
        <v>-16.54</v>
      </c>
      <c r="G323">
        <v>-15.04</v>
      </c>
      <c r="H323" s="46">
        <v>874435</v>
      </c>
      <c r="I323" s="46">
        <v>1316065</v>
      </c>
      <c r="J323">
        <v>-33.549999999999997</v>
      </c>
      <c r="K323" s="242">
        <v>0</v>
      </c>
    </row>
    <row r="324" spans="1:11" customFormat="1" hidden="1">
      <c r="A324">
        <v>5289</v>
      </c>
      <c r="B324" t="s">
        <v>1995</v>
      </c>
      <c r="C324" s="46">
        <v>371324</v>
      </c>
      <c r="D324" s="46">
        <v>403075</v>
      </c>
      <c r="E324" s="46">
        <v>378097</v>
      </c>
      <c r="F324">
        <v>-7.87</v>
      </c>
      <c r="G324">
        <v>-1.79</v>
      </c>
      <c r="H324" s="46">
        <v>3598161</v>
      </c>
      <c r="I324" s="46">
        <v>2892278</v>
      </c>
      <c r="J324">
        <v>24.4</v>
      </c>
      <c r="K324">
        <v>0</v>
      </c>
    </row>
    <row r="325" spans="1:11" customFormat="1" hidden="1">
      <c r="A325">
        <v>5287</v>
      </c>
      <c r="B325" t="s">
        <v>415</v>
      </c>
      <c r="C325" s="46">
        <v>113377</v>
      </c>
      <c r="D325" s="46">
        <v>113538</v>
      </c>
      <c r="E325" s="46">
        <v>114390</v>
      </c>
      <c r="F325">
        <v>-0.14000000000000001</v>
      </c>
      <c r="G325" s="233">
        <v>-0.88</v>
      </c>
      <c r="H325" s="46">
        <v>1140129</v>
      </c>
      <c r="I325" s="46">
        <v>933562</v>
      </c>
      <c r="J325">
        <v>22.12</v>
      </c>
      <c r="K325" s="242">
        <v>0</v>
      </c>
    </row>
    <row r="326" spans="1:11" customFormat="1" hidden="1">
      <c r="A326">
        <v>5278</v>
      </c>
      <c r="B326" t="s">
        <v>414</v>
      </c>
      <c r="C326" s="46">
        <v>24992</v>
      </c>
      <c r="D326" s="46">
        <v>23249</v>
      </c>
      <c r="E326" s="46">
        <v>19438</v>
      </c>
      <c r="F326">
        <v>7.49</v>
      </c>
      <c r="G326">
        <v>28.57</v>
      </c>
      <c r="H326" s="46">
        <v>196510</v>
      </c>
      <c r="I326" s="46">
        <v>226030</v>
      </c>
      <c r="J326">
        <v>-13.06</v>
      </c>
      <c r="K326">
        <v>1</v>
      </c>
    </row>
    <row r="327" spans="1:11" customFormat="1" hidden="1">
      <c r="A327">
        <v>5274</v>
      </c>
      <c r="B327" t="s">
        <v>1975</v>
      </c>
      <c r="C327" s="46">
        <v>85278</v>
      </c>
      <c r="D327" s="46">
        <v>96555</v>
      </c>
      <c r="E327" s="46">
        <v>70177</v>
      </c>
      <c r="F327">
        <v>-11.67</v>
      </c>
      <c r="G327">
        <v>21.51</v>
      </c>
      <c r="H327" s="46">
        <v>819546</v>
      </c>
      <c r="I327" s="46">
        <v>688932</v>
      </c>
      <c r="J327">
        <v>18.95</v>
      </c>
      <c r="K327">
        <v>0</v>
      </c>
    </row>
    <row r="328" spans="1:11" customFormat="1" hidden="1">
      <c r="A328">
        <v>5272</v>
      </c>
      <c r="B328" t="s">
        <v>413</v>
      </c>
      <c r="C328" s="46">
        <v>52396</v>
      </c>
      <c r="D328" s="46">
        <v>46006</v>
      </c>
      <c r="E328" s="46">
        <v>72200</v>
      </c>
      <c r="F328">
        <v>13.88</v>
      </c>
      <c r="G328">
        <v>-27.42</v>
      </c>
      <c r="H328" s="46">
        <v>492447</v>
      </c>
      <c r="I328" s="46">
        <v>596097</v>
      </c>
      <c r="J328">
        <v>-17.38</v>
      </c>
      <c r="K328">
        <v>1</v>
      </c>
    </row>
    <row r="329" spans="1:11" customFormat="1" hidden="1">
      <c r="A329">
        <v>5263</v>
      </c>
      <c r="B329" t="s">
        <v>2255</v>
      </c>
      <c r="C329" s="46">
        <v>72494</v>
      </c>
      <c r="D329" s="46">
        <v>67775</v>
      </c>
      <c r="E329" s="46">
        <v>35140</v>
      </c>
      <c r="F329">
        <v>6.96</v>
      </c>
      <c r="G329">
        <v>106.3</v>
      </c>
      <c r="H329" s="46">
        <v>577468</v>
      </c>
      <c r="I329" s="46">
        <v>762802</v>
      </c>
      <c r="J329">
        <v>-24.29</v>
      </c>
      <c r="K329" s="242">
        <v>1</v>
      </c>
    </row>
    <row r="330" spans="1:11" customFormat="1" hidden="1">
      <c r="A330">
        <v>5255</v>
      </c>
      <c r="B330" t="s">
        <v>412</v>
      </c>
      <c r="C330" s="46">
        <v>101073</v>
      </c>
      <c r="D330" s="46">
        <v>109212</v>
      </c>
      <c r="E330" s="46">
        <v>100793</v>
      </c>
      <c r="F330">
        <v>-7.45</v>
      </c>
      <c r="G330">
        <v>0.27</v>
      </c>
      <c r="H330" s="46">
        <v>947757</v>
      </c>
      <c r="I330" s="46">
        <v>1069766</v>
      </c>
      <c r="J330">
        <v>-11.4</v>
      </c>
      <c r="K330">
        <v>1</v>
      </c>
    </row>
    <row r="331" spans="1:11" customFormat="1" hidden="1">
      <c r="A331">
        <v>5251</v>
      </c>
      <c r="B331" t="s">
        <v>411</v>
      </c>
      <c r="C331" s="46">
        <v>27686</v>
      </c>
      <c r="D331" s="46">
        <v>65060</v>
      </c>
      <c r="E331" s="46">
        <v>57806</v>
      </c>
      <c r="F331">
        <v>-57.44</v>
      </c>
      <c r="G331">
        <v>-52.1</v>
      </c>
      <c r="H331" s="46">
        <v>545413</v>
      </c>
      <c r="I331" s="46">
        <v>811297</v>
      </c>
      <c r="J331">
        <v>-32.770000000000003</v>
      </c>
      <c r="K331">
        <v>0</v>
      </c>
    </row>
    <row r="332" spans="1:11" customFormat="1" hidden="1">
      <c r="A332">
        <v>5245</v>
      </c>
      <c r="B332" t="s">
        <v>410</v>
      </c>
      <c r="C332" s="46">
        <v>134105</v>
      </c>
      <c r="D332" s="46">
        <v>132101</v>
      </c>
      <c r="E332" s="46">
        <v>82928</v>
      </c>
      <c r="F332">
        <v>1.51</v>
      </c>
      <c r="G332">
        <v>61.71</v>
      </c>
      <c r="H332" s="46">
        <v>996694</v>
      </c>
      <c r="I332" s="46">
        <v>796624</v>
      </c>
      <c r="J332">
        <v>25.11</v>
      </c>
      <c r="K332">
        <v>1</v>
      </c>
    </row>
    <row r="333" spans="1:11" customFormat="1" hidden="1">
      <c r="A333">
        <v>5230</v>
      </c>
      <c r="B333" t="s">
        <v>409</v>
      </c>
      <c r="C333" s="46">
        <v>123991</v>
      </c>
      <c r="D333" s="46">
        <v>125009</v>
      </c>
      <c r="E333" s="46">
        <v>105390</v>
      </c>
      <c r="F333">
        <v>-0.81</v>
      </c>
      <c r="G333">
        <v>17.64</v>
      </c>
      <c r="H333" s="46">
        <v>1193787</v>
      </c>
      <c r="I333" s="46">
        <v>1113402</v>
      </c>
      <c r="J333">
        <v>7.21</v>
      </c>
      <c r="K333">
        <v>0</v>
      </c>
    </row>
    <row r="334" spans="1:11" customFormat="1" hidden="1">
      <c r="A334">
        <v>5213</v>
      </c>
      <c r="B334" t="s">
        <v>2237</v>
      </c>
      <c r="C334" s="46">
        <v>6602</v>
      </c>
      <c r="D334" s="46">
        <v>6763</v>
      </c>
      <c r="E334" s="46">
        <v>1573</v>
      </c>
      <c r="F334">
        <v>-2.38</v>
      </c>
      <c r="G334">
        <v>319.7</v>
      </c>
      <c r="H334" s="46">
        <v>2603410</v>
      </c>
      <c r="I334" s="46">
        <v>808379</v>
      </c>
      <c r="J334">
        <v>222.05</v>
      </c>
      <c r="K334">
        <v>0</v>
      </c>
    </row>
    <row r="335" spans="1:11" customFormat="1" hidden="1">
      <c r="A335">
        <v>5212</v>
      </c>
      <c r="B335" t="s">
        <v>2219</v>
      </c>
      <c r="C335" s="46">
        <v>59442</v>
      </c>
      <c r="D335" s="46">
        <v>60276</v>
      </c>
      <c r="E335" s="46">
        <v>50557</v>
      </c>
      <c r="F335">
        <v>-1.38</v>
      </c>
      <c r="G335">
        <v>17.57</v>
      </c>
      <c r="H335" s="46">
        <v>479268</v>
      </c>
      <c r="I335" s="46">
        <v>434868</v>
      </c>
      <c r="J335">
        <v>10.199999999999999</v>
      </c>
      <c r="K335" s="242">
        <v>1</v>
      </c>
    </row>
    <row r="336" spans="1:11" customFormat="1" hidden="1">
      <c r="A336">
        <v>5211</v>
      </c>
      <c r="B336" t="s">
        <v>408</v>
      </c>
      <c r="C336" s="46">
        <v>21560</v>
      </c>
      <c r="D336" s="46">
        <v>21312</v>
      </c>
      <c r="E336" s="46">
        <v>23243</v>
      </c>
      <c r="F336">
        <v>1.1599999999999999</v>
      </c>
      <c r="G336">
        <v>-7.24</v>
      </c>
      <c r="H336" s="46">
        <v>220917</v>
      </c>
      <c r="I336" s="46">
        <v>255773</v>
      </c>
      <c r="J336">
        <v>-13.62</v>
      </c>
      <c r="K336">
        <v>0</v>
      </c>
    </row>
    <row r="337" spans="1:11" customFormat="1" hidden="1">
      <c r="A337">
        <v>5210</v>
      </c>
      <c r="B337" t="s">
        <v>407</v>
      </c>
      <c r="C337" s="46">
        <v>26851</v>
      </c>
      <c r="D337" s="46">
        <v>20864</v>
      </c>
      <c r="E337" s="46">
        <v>26782</v>
      </c>
      <c r="F337">
        <v>28.69</v>
      </c>
      <c r="G337">
        <v>0.25</v>
      </c>
      <c r="H337" s="46">
        <v>253625</v>
      </c>
      <c r="I337" s="46">
        <v>273649</v>
      </c>
      <c r="J337">
        <v>-7.31</v>
      </c>
      <c r="K337">
        <v>1</v>
      </c>
    </row>
    <row r="338" spans="1:11" customFormat="1" hidden="1">
      <c r="A338">
        <v>5209</v>
      </c>
      <c r="B338" t="s">
        <v>2218</v>
      </c>
      <c r="C338" s="46">
        <v>113255</v>
      </c>
      <c r="D338" s="46">
        <v>128663</v>
      </c>
      <c r="E338" s="46">
        <v>128053</v>
      </c>
      <c r="F338">
        <v>-11.97</v>
      </c>
      <c r="G338">
        <v>-11.55</v>
      </c>
      <c r="H338" s="46">
        <v>1186889</v>
      </c>
      <c r="I338" s="46">
        <v>1003246</v>
      </c>
      <c r="J338">
        <v>18.3</v>
      </c>
      <c r="K338" s="242">
        <v>0</v>
      </c>
    </row>
    <row r="339" spans="1:11" customFormat="1">
      <c r="A339" s="62" t="str">
        <f>HYPERLINK("http://tw.stock.yahoo.com/q/ta?s=3234","3234")</f>
        <v>3234</v>
      </c>
      <c r="B339" s="62" t="str">
        <f>HYPERLINK("http://tw.stock.yahoo.com/d/s/earning_3234.html","光環")</f>
        <v>光環</v>
      </c>
      <c r="C339" s="46">
        <v>545445</v>
      </c>
      <c r="D339" s="46">
        <v>449009</v>
      </c>
      <c r="E339" s="46">
        <v>220971</v>
      </c>
      <c r="F339">
        <v>21.47</v>
      </c>
      <c r="G339">
        <v>146.84</v>
      </c>
      <c r="H339" s="46">
        <v>3501007</v>
      </c>
      <c r="I339" s="46">
        <v>1896455</v>
      </c>
      <c r="J339">
        <v>84.6</v>
      </c>
      <c r="K339">
        <v>1</v>
      </c>
    </row>
    <row r="340" spans="1:11" customFormat="1" hidden="1">
      <c r="A340">
        <v>5205</v>
      </c>
      <c r="B340" t="s">
        <v>2231</v>
      </c>
      <c r="C340" s="46">
        <v>54</v>
      </c>
      <c r="D340" s="46">
        <v>12</v>
      </c>
      <c r="E340" s="46">
        <v>45</v>
      </c>
      <c r="F340">
        <v>350</v>
      </c>
      <c r="G340" s="233">
        <v>20</v>
      </c>
      <c r="H340" s="46">
        <v>1968</v>
      </c>
      <c r="I340" s="46">
        <v>6427</v>
      </c>
      <c r="J340">
        <v>-69.37</v>
      </c>
      <c r="K340">
        <v>0</v>
      </c>
    </row>
    <row r="341" spans="1:11" customFormat="1" hidden="1">
      <c r="A341">
        <v>5202</v>
      </c>
      <c r="B341" t="s">
        <v>2217</v>
      </c>
      <c r="C341" s="46">
        <v>25889</v>
      </c>
      <c r="D341" s="46">
        <v>26452</v>
      </c>
      <c r="E341" s="46">
        <v>23742</v>
      </c>
      <c r="F341">
        <v>-2.12</v>
      </c>
      <c r="G341">
        <v>9.0399999999999991</v>
      </c>
      <c r="H341" s="46">
        <v>232614</v>
      </c>
      <c r="I341" s="46">
        <v>218248</v>
      </c>
      <c r="J341">
        <v>6.58</v>
      </c>
      <c r="K341" s="242">
        <v>1</v>
      </c>
    </row>
    <row r="342" spans="1:11" customFormat="1" hidden="1">
      <c r="A342">
        <v>5201</v>
      </c>
      <c r="B342" t="s">
        <v>2216</v>
      </c>
      <c r="C342" s="46">
        <v>24731</v>
      </c>
      <c r="D342" s="46">
        <v>24593</v>
      </c>
      <c r="E342" s="46">
        <v>17739</v>
      </c>
      <c r="F342">
        <v>0.56000000000000005</v>
      </c>
      <c r="G342">
        <v>39.409999999999997</v>
      </c>
      <c r="H342" s="46">
        <v>213939</v>
      </c>
      <c r="I342" s="46">
        <v>210224</v>
      </c>
      <c r="J342">
        <v>1.76</v>
      </c>
      <c r="K342">
        <v>1</v>
      </c>
    </row>
    <row r="343" spans="1:11" customFormat="1" hidden="1">
      <c r="A343">
        <v>5102</v>
      </c>
      <c r="B343" t="s">
        <v>405</v>
      </c>
      <c r="C343" s="46">
        <v>52723</v>
      </c>
      <c r="D343" s="46">
        <v>58794</v>
      </c>
      <c r="E343" s="46">
        <v>90305</v>
      </c>
      <c r="F343">
        <v>-10.32</v>
      </c>
      <c r="G343">
        <v>-41.61</v>
      </c>
      <c r="H343" s="46">
        <v>585515</v>
      </c>
      <c r="I343" s="46">
        <v>801429</v>
      </c>
      <c r="J343">
        <v>-26.94</v>
      </c>
      <c r="K343">
        <v>0</v>
      </c>
    </row>
    <row r="344" spans="1:11" customFormat="1" hidden="1">
      <c r="A344">
        <v>5016</v>
      </c>
      <c r="B344" t="s">
        <v>2138</v>
      </c>
      <c r="C344" s="46">
        <v>178282</v>
      </c>
      <c r="D344" s="46">
        <v>163998</v>
      </c>
      <c r="E344" s="46">
        <v>245435</v>
      </c>
      <c r="F344">
        <v>8.6999999999999993</v>
      </c>
      <c r="G344">
        <v>-27.36</v>
      </c>
      <c r="H344" s="46">
        <v>1871492</v>
      </c>
      <c r="I344" s="46">
        <v>2283149</v>
      </c>
      <c r="J344">
        <v>-18.03</v>
      </c>
      <c r="K344" s="242">
        <v>0</v>
      </c>
    </row>
    <row r="345" spans="1:11" customFormat="1" hidden="1">
      <c r="A345">
        <v>5015</v>
      </c>
      <c r="B345" t="s">
        <v>404</v>
      </c>
      <c r="C345" s="46">
        <v>218530</v>
      </c>
      <c r="D345" s="46">
        <v>206549</v>
      </c>
      <c r="E345" s="46">
        <v>214021</v>
      </c>
      <c r="F345">
        <v>5.8</v>
      </c>
      <c r="G345">
        <v>2.1</v>
      </c>
      <c r="H345" s="46">
        <v>1681482</v>
      </c>
      <c r="I345" s="46">
        <v>2277535</v>
      </c>
      <c r="J345">
        <v>-26.17</v>
      </c>
      <c r="K345">
        <v>1</v>
      </c>
    </row>
    <row r="346" spans="1:11" customFormat="1" hidden="1">
      <c r="A346">
        <v>5014</v>
      </c>
      <c r="B346" t="s">
        <v>2137</v>
      </c>
      <c r="C346" s="46">
        <v>1119652</v>
      </c>
      <c r="D346" s="46">
        <v>1409454</v>
      </c>
      <c r="E346" s="46">
        <v>928017</v>
      </c>
      <c r="F346">
        <v>-20.56</v>
      </c>
      <c r="G346">
        <v>20.64</v>
      </c>
      <c r="H346" s="46">
        <v>11858523</v>
      </c>
      <c r="I346" s="46">
        <v>10740906</v>
      </c>
      <c r="J346">
        <v>10.4</v>
      </c>
      <c r="K346" s="242">
        <v>0</v>
      </c>
    </row>
    <row r="347" spans="1:11" customFormat="1" hidden="1">
      <c r="A347">
        <v>5013</v>
      </c>
      <c r="B347" t="s">
        <v>1965</v>
      </c>
      <c r="C347" s="46">
        <v>459552</v>
      </c>
      <c r="D347" s="46">
        <v>388589</v>
      </c>
      <c r="E347" s="46">
        <v>533311</v>
      </c>
      <c r="F347">
        <v>18.260000000000002</v>
      </c>
      <c r="G347">
        <v>-13.83</v>
      </c>
      <c r="H347" s="46">
        <v>4208529</v>
      </c>
      <c r="I347" s="46">
        <v>4572447</v>
      </c>
      <c r="J347">
        <v>-7.95</v>
      </c>
      <c r="K347">
        <v>1</v>
      </c>
    </row>
    <row r="348" spans="1:11" customFormat="1" hidden="1">
      <c r="A348">
        <v>5011</v>
      </c>
      <c r="B348" t="s">
        <v>403</v>
      </c>
      <c r="C348" s="46">
        <v>94870</v>
      </c>
      <c r="D348" s="46">
        <v>89503</v>
      </c>
      <c r="E348" s="46">
        <v>86717</v>
      </c>
      <c r="F348">
        <v>5.99</v>
      </c>
      <c r="G348">
        <v>9.4</v>
      </c>
      <c r="H348" s="46">
        <v>808034</v>
      </c>
      <c r="I348" s="46">
        <v>866579</v>
      </c>
      <c r="J348">
        <v>-6.75</v>
      </c>
      <c r="K348">
        <v>1</v>
      </c>
    </row>
    <row r="349" spans="1:11" customFormat="1" hidden="1">
      <c r="A349">
        <v>5009</v>
      </c>
      <c r="B349" t="s">
        <v>402</v>
      </c>
      <c r="C349" s="46">
        <v>737489</v>
      </c>
      <c r="D349" s="46">
        <v>798444</v>
      </c>
      <c r="E349" s="46">
        <v>1011552</v>
      </c>
      <c r="F349">
        <v>-7.63</v>
      </c>
      <c r="G349">
        <v>-27.09</v>
      </c>
      <c r="H349" s="46">
        <v>9433129</v>
      </c>
      <c r="I349" s="46">
        <v>10137007</v>
      </c>
      <c r="J349">
        <v>-6.94</v>
      </c>
      <c r="K349" s="242">
        <v>0</v>
      </c>
    </row>
    <row r="350" spans="1:11" customFormat="1" hidden="1">
      <c r="A350">
        <v>4995</v>
      </c>
      <c r="B350" t="s">
        <v>2003</v>
      </c>
      <c r="C350" s="46">
        <v>70829</v>
      </c>
      <c r="D350" s="46">
        <v>60001</v>
      </c>
      <c r="E350" s="46">
        <v>85019</v>
      </c>
      <c r="F350">
        <v>18.04</v>
      </c>
      <c r="G350">
        <v>-16.690000000000001</v>
      </c>
      <c r="H350" s="46">
        <v>700415</v>
      </c>
      <c r="I350" s="46">
        <v>724384</v>
      </c>
      <c r="J350">
        <v>-3.3</v>
      </c>
      <c r="K350">
        <v>0</v>
      </c>
    </row>
    <row r="351" spans="1:11" customFormat="1" hidden="1">
      <c r="A351">
        <v>4987</v>
      </c>
      <c r="B351" t="s">
        <v>1635</v>
      </c>
      <c r="C351" s="46">
        <v>92326</v>
      </c>
      <c r="D351" s="46">
        <v>89691</v>
      </c>
      <c r="E351" s="46">
        <v>113803</v>
      </c>
      <c r="F351">
        <v>2.93</v>
      </c>
      <c r="G351">
        <v>-18.87</v>
      </c>
      <c r="H351" s="46">
        <v>944590</v>
      </c>
      <c r="I351" s="46">
        <v>1032825</v>
      </c>
      <c r="J351">
        <v>-8.5399999999999991</v>
      </c>
      <c r="K351">
        <v>0</v>
      </c>
    </row>
    <row r="352" spans="1:11" customFormat="1">
      <c r="A352" s="62" t="str">
        <f>HYPERLINK("http://tw.stock.yahoo.com/q/ta?s=4502","4502")</f>
        <v>4502</v>
      </c>
      <c r="B352" s="62" t="str">
        <f>HYPERLINK("http://tw.stock.yahoo.com/d/s/earning_4502.html","健信科技")</f>
        <v>健信科技</v>
      </c>
      <c r="C352" s="46">
        <v>204541</v>
      </c>
      <c r="D352" s="46">
        <v>161949</v>
      </c>
      <c r="E352" s="46">
        <v>74227</v>
      </c>
      <c r="F352">
        <v>26.29</v>
      </c>
      <c r="G352">
        <v>175.56</v>
      </c>
      <c r="H352" s="46">
        <v>1243334</v>
      </c>
      <c r="I352" s="46">
        <v>712109</v>
      </c>
      <c r="J352">
        <v>74.59</v>
      </c>
      <c r="K352">
        <v>1</v>
      </c>
    </row>
    <row r="353" spans="1:11" customFormat="1" hidden="1">
      <c r="A353">
        <v>4974</v>
      </c>
      <c r="B353" t="s">
        <v>400</v>
      </c>
      <c r="C353" s="46">
        <v>273381</v>
      </c>
      <c r="D353" s="46">
        <v>284655</v>
      </c>
      <c r="E353" s="46">
        <v>238203</v>
      </c>
      <c r="F353">
        <v>-3.96</v>
      </c>
      <c r="G353">
        <v>14.76</v>
      </c>
      <c r="H353" s="46">
        <v>3115227</v>
      </c>
      <c r="I353" s="46">
        <v>2798522</v>
      </c>
      <c r="J353">
        <v>11.31</v>
      </c>
      <c r="K353">
        <v>0</v>
      </c>
    </row>
    <row r="354" spans="1:11" customFormat="1" hidden="1">
      <c r="A354">
        <v>4973</v>
      </c>
      <c r="B354" t="s">
        <v>1974</v>
      </c>
      <c r="C354" s="46">
        <v>474781</v>
      </c>
      <c r="D354" s="46">
        <v>429559</v>
      </c>
      <c r="E354" s="46">
        <v>756517</v>
      </c>
      <c r="F354">
        <v>10.52</v>
      </c>
      <c r="G354">
        <v>-37.24</v>
      </c>
      <c r="H354" s="46">
        <v>4490955</v>
      </c>
      <c r="I354" s="46">
        <v>5935290</v>
      </c>
      <c r="J354">
        <v>-24.33</v>
      </c>
      <c r="K354">
        <v>1</v>
      </c>
    </row>
    <row r="355" spans="1:11" customFormat="1" hidden="1">
      <c r="A355">
        <v>4972</v>
      </c>
      <c r="B355" t="s">
        <v>2002</v>
      </c>
      <c r="C355" s="46">
        <v>95696</v>
      </c>
      <c r="D355" s="46">
        <v>122344</v>
      </c>
      <c r="E355" s="46">
        <v>102590</v>
      </c>
      <c r="F355">
        <v>-21.78</v>
      </c>
      <c r="G355">
        <v>-6.71</v>
      </c>
      <c r="H355" s="46">
        <v>1088497</v>
      </c>
      <c r="I355" s="46">
        <v>965255</v>
      </c>
      <c r="J355">
        <v>12.76</v>
      </c>
      <c r="K355">
        <v>0</v>
      </c>
    </row>
    <row r="356" spans="1:11" customFormat="1">
      <c r="A356" s="62" t="str">
        <f>HYPERLINK("http://tw.stock.yahoo.com/q/ta?s=8091","8091")</f>
        <v>8091</v>
      </c>
      <c r="B356" s="62" t="str">
        <f>HYPERLINK("http://tw.stock.yahoo.com/d/s/earning_8091.html","翔名科技")</f>
        <v>翔名科技</v>
      </c>
      <c r="C356" s="46">
        <v>227635</v>
      </c>
      <c r="D356" s="46">
        <v>176026</v>
      </c>
      <c r="E356" s="46">
        <v>130109</v>
      </c>
      <c r="F356">
        <v>29.31</v>
      </c>
      <c r="G356">
        <v>74.95</v>
      </c>
      <c r="H356" s="46">
        <v>1834478</v>
      </c>
      <c r="I356" s="46">
        <v>1083408</v>
      </c>
      <c r="J356">
        <v>69.319999999999993</v>
      </c>
      <c r="K356">
        <v>1</v>
      </c>
    </row>
    <row r="357" spans="1:11" customFormat="1" hidden="1">
      <c r="A357">
        <v>4953</v>
      </c>
      <c r="B357" t="s">
        <v>2215</v>
      </c>
      <c r="C357" s="46">
        <v>202096</v>
      </c>
      <c r="D357" s="46">
        <v>212122</v>
      </c>
      <c r="E357" s="46">
        <v>247103</v>
      </c>
      <c r="F357">
        <v>-4.72</v>
      </c>
      <c r="G357">
        <v>-18.21</v>
      </c>
      <c r="H357" s="46">
        <v>2096691</v>
      </c>
      <c r="I357" s="46">
        <v>2035379</v>
      </c>
      <c r="J357">
        <v>3.01</v>
      </c>
      <c r="K357">
        <v>0</v>
      </c>
    </row>
    <row r="358" spans="1:11" customFormat="1" hidden="1">
      <c r="A358">
        <v>4950</v>
      </c>
      <c r="B358" t="s">
        <v>398</v>
      </c>
      <c r="C358" s="46">
        <v>35907</v>
      </c>
      <c r="D358" s="46">
        <v>44997</v>
      </c>
      <c r="E358" s="46">
        <v>53833</v>
      </c>
      <c r="F358">
        <v>-20.2</v>
      </c>
      <c r="G358">
        <v>-33.29</v>
      </c>
      <c r="H358" s="46">
        <v>286880</v>
      </c>
      <c r="I358" s="46">
        <v>370186</v>
      </c>
      <c r="J358">
        <v>-22.5</v>
      </c>
      <c r="K358">
        <v>1</v>
      </c>
    </row>
    <row r="359" spans="1:11" customFormat="1" hidden="1">
      <c r="A359">
        <v>4946</v>
      </c>
      <c r="B359" t="s">
        <v>2254</v>
      </c>
      <c r="C359" s="46">
        <v>27986</v>
      </c>
      <c r="D359" s="46">
        <v>31940</v>
      </c>
      <c r="E359" s="46">
        <v>56771</v>
      </c>
      <c r="F359">
        <v>-12.37</v>
      </c>
      <c r="G359">
        <v>-50.7</v>
      </c>
      <c r="H359" s="46">
        <v>398439</v>
      </c>
      <c r="I359" s="46">
        <v>732179</v>
      </c>
      <c r="J359">
        <v>-45.58</v>
      </c>
      <c r="K359" s="242">
        <v>0</v>
      </c>
    </row>
    <row r="360" spans="1:11" customFormat="1" hidden="1">
      <c r="A360">
        <v>4944</v>
      </c>
      <c r="B360" t="s">
        <v>2172</v>
      </c>
      <c r="C360" s="46">
        <v>143953</v>
      </c>
      <c r="D360" s="46">
        <v>150072</v>
      </c>
      <c r="E360" s="46">
        <v>170675</v>
      </c>
      <c r="F360">
        <v>-4.07</v>
      </c>
      <c r="G360">
        <v>-15.65</v>
      </c>
      <c r="H360" s="46">
        <v>1913174</v>
      </c>
      <c r="I360" s="46">
        <v>2220360</v>
      </c>
      <c r="J360">
        <v>-13.83</v>
      </c>
      <c r="K360">
        <v>0</v>
      </c>
    </row>
    <row r="361" spans="1:11" customFormat="1" hidden="1">
      <c r="A361">
        <v>4939</v>
      </c>
      <c r="B361" t="s">
        <v>397</v>
      </c>
      <c r="C361" s="46">
        <v>123015</v>
      </c>
      <c r="D361" s="46">
        <v>163098</v>
      </c>
      <c r="E361" s="46">
        <v>172296</v>
      </c>
      <c r="F361">
        <v>-24.57</v>
      </c>
      <c r="G361">
        <v>-28.6</v>
      </c>
      <c r="H361" s="46">
        <v>1297406</v>
      </c>
      <c r="I361" s="46">
        <v>1624339</v>
      </c>
      <c r="J361">
        <v>-20.12</v>
      </c>
      <c r="K361">
        <v>0</v>
      </c>
    </row>
    <row r="362" spans="1:11" customFormat="1" hidden="1">
      <c r="A362">
        <v>4933</v>
      </c>
      <c r="B362" t="s">
        <v>396</v>
      </c>
      <c r="C362" s="46">
        <v>363558</v>
      </c>
      <c r="D362" s="46">
        <v>360488</v>
      </c>
      <c r="E362" s="46">
        <v>341960</v>
      </c>
      <c r="F362">
        <v>0.85</v>
      </c>
      <c r="G362">
        <v>6.31</v>
      </c>
      <c r="H362" s="46">
        <v>3385465</v>
      </c>
      <c r="I362" s="46">
        <v>3128734</v>
      </c>
      <c r="J362">
        <v>8.1999999999999993</v>
      </c>
      <c r="K362">
        <v>1</v>
      </c>
    </row>
    <row r="363" spans="1:11" customFormat="1" hidden="1">
      <c r="A363">
        <v>4911</v>
      </c>
      <c r="B363" t="s">
        <v>395</v>
      </c>
      <c r="C363" s="46">
        <v>8101</v>
      </c>
      <c r="D363" s="46">
        <v>4796</v>
      </c>
      <c r="E363" s="46">
        <v>9730</v>
      </c>
      <c r="F363">
        <v>68.91</v>
      </c>
      <c r="G363">
        <v>-16.739999999999998</v>
      </c>
      <c r="H363" s="46">
        <v>35123</v>
      </c>
      <c r="I363" s="46">
        <v>63966</v>
      </c>
      <c r="J363">
        <v>-45.09</v>
      </c>
      <c r="K363">
        <v>1</v>
      </c>
    </row>
    <row r="364" spans="1:11" customFormat="1" hidden="1">
      <c r="A364">
        <v>4909</v>
      </c>
      <c r="B364" t="s">
        <v>394</v>
      </c>
      <c r="C364" s="46">
        <v>143080</v>
      </c>
      <c r="D364" s="46">
        <v>135995</v>
      </c>
      <c r="E364" s="46">
        <v>137740</v>
      </c>
      <c r="F364">
        <v>5.2</v>
      </c>
      <c r="G364">
        <v>3.87</v>
      </c>
      <c r="H364" s="46">
        <v>1277203</v>
      </c>
      <c r="I364" s="46">
        <v>1453976</v>
      </c>
      <c r="J364">
        <v>-12.15</v>
      </c>
      <c r="K364">
        <v>1</v>
      </c>
    </row>
    <row r="365" spans="1:11" customFormat="1" hidden="1">
      <c r="A365">
        <v>4908</v>
      </c>
      <c r="B365" t="s">
        <v>2012</v>
      </c>
      <c r="C365" s="46">
        <v>103517</v>
      </c>
      <c r="D365" s="46">
        <v>89983</v>
      </c>
      <c r="E365" s="46">
        <v>114448</v>
      </c>
      <c r="F365">
        <v>15.04</v>
      </c>
      <c r="G365">
        <v>-9.5500000000000007</v>
      </c>
      <c r="H365" s="46">
        <v>844536</v>
      </c>
      <c r="I365" s="46">
        <v>1124824</v>
      </c>
      <c r="J365">
        <v>-24.91</v>
      </c>
      <c r="K365">
        <v>1</v>
      </c>
    </row>
    <row r="366" spans="1:11" customFormat="1" hidden="1">
      <c r="A366">
        <v>4907</v>
      </c>
      <c r="B366" t="s">
        <v>2072</v>
      </c>
      <c r="C366" s="46">
        <v>86</v>
      </c>
      <c r="D366" s="46">
        <v>161990</v>
      </c>
      <c r="E366" s="46">
        <v>10</v>
      </c>
      <c r="F366">
        <v>-99.94</v>
      </c>
      <c r="G366">
        <v>760</v>
      </c>
      <c r="H366" s="46">
        <v>314610</v>
      </c>
      <c r="I366" s="46">
        <v>67250</v>
      </c>
      <c r="J366">
        <v>367.82</v>
      </c>
      <c r="K366">
        <v>0</v>
      </c>
    </row>
    <row r="367" spans="1:11" customFormat="1" hidden="1">
      <c r="A367">
        <v>4905</v>
      </c>
      <c r="B367" t="s">
        <v>2181</v>
      </c>
      <c r="C367" s="46">
        <v>11674</v>
      </c>
      <c r="D367" s="46">
        <v>12183</v>
      </c>
      <c r="E367" s="46">
        <v>12966</v>
      </c>
      <c r="F367">
        <v>-4.17</v>
      </c>
      <c r="G367">
        <v>-9.9600000000000009</v>
      </c>
      <c r="H367" s="46">
        <v>96188</v>
      </c>
      <c r="I367" s="46">
        <v>133684</v>
      </c>
      <c r="J367">
        <v>-28.04</v>
      </c>
      <c r="K367">
        <v>1</v>
      </c>
    </row>
    <row r="368" spans="1:11" customFormat="1" hidden="1">
      <c r="A368">
        <v>4903</v>
      </c>
      <c r="B368" t="s">
        <v>2180</v>
      </c>
      <c r="C368" s="46">
        <v>84054</v>
      </c>
      <c r="D368" s="46">
        <v>161398</v>
      </c>
      <c r="E368" s="46">
        <v>150195</v>
      </c>
      <c r="F368">
        <v>-47.92</v>
      </c>
      <c r="G368">
        <v>-44.03</v>
      </c>
      <c r="H368" s="46">
        <v>1299424</v>
      </c>
      <c r="I368" s="46">
        <v>1295449</v>
      </c>
      <c r="J368">
        <v>0.3</v>
      </c>
      <c r="K368">
        <v>0</v>
      </c>
    </row>
    <row r="369" spans="1:11" customFormat="1" hidden="1">
      <c r="A369">
        <v>4747</v>
      </c>
      <c r="B369" t="s">
        <v>1962</v>
      </c>
      <c r="C369" s="46">
        <v>31224</v>
      </c>
      <c r="D369" s="46">
        <v>28410</v>
      </c>
      <c r="E369" s="46">
        <v>30725</v>
      </c>
      <c r="F369">
        <v>9.9</v>
      </c>
      <c r="G369">
        <v>1.62</v>
      </c>
      <c r="H369" s="46">
        <v>308429</v>
      </c>
      <c r="I369" s="46">
        <v>304294</v>
      </c>
      <c r="J369">
        <v>1.35</v>
      </c>
      <c r="K369" s="242">
        <v>0</v>
      </c>
    </row>
    <row r="370" spans="1:11" customFormat="1" hidden="1">
      <c r="A370">
        <v>4743</v>
      </c>
      <c r="B370" t="s">
        <v>1961</v>
      </c>
      <c r="C370" s="46">
        <v>940</v>
      </c>
      <c r="D370" s="46">
        <v>652</v>
      </c>
      <c r="E370" s="46">
        <v>0</v>
      </c>
      <c r="F370">
        <v>44.17</v>
      </c>
      <c r="H370" s="46">
        <v>7542</v>
      </c>
      <c r="I370" s="46">
        <v>4607</v>
      </c>
      <c r="J370">
        <v>63.7</v>
      </c>
      <c r="K370">
        <v>1</v>
      </c>
    </row>
    <row r="371" spans="1:11" customFormat="1">
      <c r="A371" s="62" t="str">
        <f>HYPERLINK("http://tw.stock.yahoo.com/q/ta?s=5392","5392")</f>
        <v>5392</v>
      </c>
      <c r="B371" s="62" t="str">
        <f>HYPERLINK("http://tw.stock.yahoo.com/d/s/earning_5392.html","應華精密")</f>
        <v>應華精密</v>
      </c>
      <c r="C371" s="46">
        <v>622874</v>
      </c>
      <c r="D371" s="46">
        <v>555344</v>
      </c>
      <c r="E371" s="46">
        <v>391847</v>
      </c>
      <c r="F371">
        <v>12.16</v>
      </c>
      <c r="G371">
        <v>58.95</v>
      </c>
      <c r="H371" s="46">
        <v>4794193</v>
      </c>
      <c r="I371" s="46">
        <v>3049396</v>
      </c>
      <c r="J371">
        <v>57.21</v>
      </c>
      <c r="K371">
        <v>1</v>
      </c>
    </row>
    <row r="372" spans="1:11" customFormat="1" hidden="1">
      <c r="A372">
        <v>4736</v>
      </c>
      <c r="B372" t="s">
        <v>393</v>
      </c>
      <c r="C372" s="46">
        <v>232149</v>
      </c>
      <c r="D372" s="46">
        <v>241840</v>
      </c>
      <c r="E372" s="46">
        <v>202321</v>
      </c>
      <c r="F372">
        <v>-4</v>
      </c>
      <c r="G372">
        <v>14.74</v>
      </c>
      <c r="H372" s="46">
        <v>2179895</v>
      </c>
      <c r="I372" s="46">
        <v>2055608</v>
      </c>
      <c r="J372">
        <v>6.04</v>
      </c>
      <c r="K372" s="242">
        <v>1</v>
      </c>
    </row>
    <row r="373" spans="1:11" customFormat="1" hidden="1">
      <c r="A373">
        <v>4735</v>
      </c>
      <c r="B373" t="s">
        <v>1960</v>
      </c>
      <c r="C373" s="46">
        <v>91629</v>
      </c>
      <c r="D373" s="46">
        <v>90902</v>
      </c>
      <c r="E373" s="46">
        <v>60049</v>
      </c>
      <c r="F373">
        <v>0.79</v>
      </c>
      <c r="G373">
        <v>52.59</v>
      </c>
      <c r="H373" s="46">
        <v>812053</v>
      </c>
      <c r="I373" s="46">
        <v>572166</v>
      </c>
      <c r="J373">
        <v>41.92</v>
      </c>
      <c r="K373">
        <v>1</v>
      </c>
    </row>
    <row r="374" spans="1:11" customFormat="1" hidden="1">
      <c r="A374">
        <v>4729</v>
      </c>
      <c r="B374" t="s">
        <v>392</v>
      </c>
      <c r="C374" s="46">
        <v>223989</v>
      </c>
      <c r="D374" s="46">
        <v>235693</v>
      </c>
      <c r="E374" s="46">
        <v>643077</v>
      </c>
      <c r="F374">
        <v>-4.96</v>
      </c>
      <c r="G374">
        <v>-65.16</v>
      </c>
      <c r="H374" s="46">
        <v>4449694</v>
      </c>
      <c r="I374" s="46">
        <v>6203775</v>
      </c>
      <c r="J374">
        <v>-28.27</v>
      </c>
      <c r="K374">
        <v>0</v>
      </c>
    </row>
    <row r="375" spans="1:11" customFormat="1" hidden="1">
      <c r="A375">
        <v>4728</v>
      </c>
      <c r="B375" t="s">
        <v>391</v>
      </c>
      <c r="C375" s="46">
        <v>3131</v>
      </c>
      <c r="D375" s="46">
        <v>14684</v>
      </c>
      <c r="E375" s="46">
        <v>15882</v>
      </c>
      <c r="F375">
        <v>-78.67</v>
      </c>
      <c r="G375">
        <v>-80.28</v>
      </c>
      <c r="H375" s="46">
        <v>99275</v>
      </c>
      <c r="I375" s="46">
        <v>143551</v>
      </c>
      <c r="J375">
        <v>-30.84</v>
      </c>
      <c r="K375">
        <v>0</v>
      </c>
    </row>
    <row r="376" spans="1:11" customFormat="1" hidden="1">
      <c r="A376">
        <v>4726</v>
      </c>
      <c r="B376" t="s">
        <v>1959</v>
      </c>
      <c r="C376" s="46">
        <v>10739</v>
      </c>
      <c r="D376" s="46">
        <v>39863</v>
      </c>
      <c r="E376" s="46">
        <v>3907</v>
      </c>
      <c r="F376">
        <v>-73.06</v>
      </c>
      <c r="G376">
        <v>174.86</v>
      </c>
      <c r="H376" s="46">
        <v>87932</v>
      </c>
      <c r="I376" s="46">
        <v>64596</v>
      </c>
      <c r="J376">
        <v>36.119999999999997</v>
      </c>
      <c r="K376">
        <v>1</v>
      </c>
    </row>
    <row r="377" spans="1:11" customFormat="1" hidden="1">
      <c r="A377">
        <v>4721</v>
      </c>
      <c r="B377" t="s">
        <v>390</v>
      </c>
      <c r="C377" s="46">
        <v>200255</v>
      </c>
      <c r="D377" s="46">
        <v>155545</v>
      </c>
      <c r="E377" s="46">
        <v>270723</v>
      </c>
      <c r="F377">
        <v>28.74</v>
      </c>
      <c r="G377">
        <v>-26.02</v>
      </c>
      <c r="H377" s="46">
        <v>1733882</v>
      </c>
      <c r="I377" s="46">
        <v>2306539</v>
      </c>
      <c r="J377">
        <v>-24.82</v>
      </c>
      <c r="K377">
        <v>1</v>
      </c>
    </row>
    <row r="378" spans="1:11" customFormat="1" hidden="1">
      <c r="A378">
        <v>4716</v>
      </c>
      <c r="B378" t="s">
        <v>2128</v>
      </c>
      <c r="C378" s="46">
        <v>96706</v>
      </c>
      <c r="D378" s="46">
        <v>88867</v>
      </c>
      <c r="E378" s="46">
        <v>112765</v>
      </c>
      <c r="F378">
        <v>8.82</v>
      </c>
      <c r="G378">
        <v>-14.24</v>
      </c>
      <c r="H378" s="46">
        <v>910775</v>
      </c>
      <c r="I378" s="46">
        <v>1069170</v>
      </c>
      <c r="J378">
        <v>-14.81</v>
      </c>
      <c r="K378">
        <v>1</v>
      </c>
    </row>
    <row r="379" spans="1:11" customFormat="1" hidden="1">
      <c r="A379">
        <v>4714</v>
      </c>
      <c r="B379" t="s">
        <v>389</v>
      </c>
      <c r="C379" s="46">
        <v>44925</v>
      </c>
      <c r="D379" s="46">
        <v>53442</v>
      </c>
      <c r="E379" s="46">
        <v>46371</v>
      </c>
      <c r="F379" s="233">
        <v>-15.93</v>
      </c>
      <c r="G379">
        <v>-3.11</v>
      </c>
      <c r="H379" s="46">
        <v>666231</v>
      </c>
      <c r="I379" s="46">
        <v>605133</v>
      </c>
      <c r="J379">
        <v>10.09</v>
      </c>
      <c r="K379">
        <v>0</v>
      </c>
    </row>
    <row r="380" spans="1:11" customFormat="1" hidden="1">
      <c r="A380">
        <v>4712</v>
      </c>
      <c r="B380" t="s">
        <v>388</v>
      </c>
      <c r="C380" s="46">
        <v>61362</v>
      </c>
      <c r="D380" s="46">
        <v>70778</v>
      </c>
      <c r="E380" s="46">
        <v>125692</v>
      </c>
      <c r="F380">
        <v>-13.3</v>
      </c>
      <c r="G380">
        <v>-51.18</v>
      </c>
      <c r="H380" s="46">
        <v>931260</v>
      </c>
      <c r="I380" s="46">
        <v>1542163</v>
      </c>
      <c r="J380">
        <v>-39.61</v>
      </c>
      <c r="K380">
        <v>0</v>
      </c>
    </row>
    <row r="381" spans="1:11" customFormat="1" hidden="1">
      <c r="A381">
        <v>4711</v>
      </c>
      <c r="B381" t="s">
        <v>1943</v>
      </c>
      <c r="C381" s="46">
        <v>93580</v>
      </c>
      <c r="D381" s="46">
        <v>91312</v>
      </c>
      <c r="E381" s="46">
        <v>140034</v>
      </c>
      <c r="F381">
        <v>2.48</v>
      </c>
      <c r="G381">
        <v>-33.17</v>
      </c>
      <c r="H381" s="46">
        <v>1007543</v>
      </c>
      <c r="I381" s="46">
        <v>1234455</v>
      </c>
      <c r="J381">
        <v>-18.38</v>
      </c>
      <c r="K381">
        <v>0</v>
      </c>
    </row>
    <row r="382" spans="1:11" customFormat="1" hidden="1">
      <c r="A382">
        <v>4707</v>
      </c>
      <c r="B382" t="s">
        <v>387</v>
      </c>
      <c r="C382" s="46">
        <v>138790</v>
      </c>
      <c r="D382" s="46">
        <v>172638</v>
      </c>
      <c r="E382" s="46">
        <v>115661</v>
      </c>
      <c r="F382">
        <v>-19.600000000000001</v>
      </c>
      <c r="G382">
        <v>19.989999999999998</v>
      </c>
      <c r="H382" s="46">
        <v>1721779</v>
      </c>
      <c r="I382" s="46">
        <v>1893464</v>
      </c>
      <c r="J382">
        <v>-9.06</v>
      </c>
      <c r="K382">
        <v>0</v>
      </c>
    </row>
    <row r="383" spans="1:11" customFormat="1" hidden="1">
      <c r="A383">
        <v>4706</v>
      </c>
      <c r="B383" t="s">
        <v>2101</v>
      </c>
      <c r="C383" s="46">
        <v>133158</v>
      </c>
      <c r="D383" s="46">
        <v>133384</v>
      </c>
      <c r="E383" s="46">
        <v>131175</v>
      </c>
      <c r="F383">
        <v>-0.16</v>
      </c>
      <c r="G383">
        <v>1.51</v>
      </c>
      <c r="H383" s="46">
        <v>1226352</v>
      </c>
      <c r="I383" s="46">
        <v>1285173</v>
      </c>
      <c r="J383">
        <v>-4.57</v>
      </c>
      <c r="K383">
        <v>1</v>
      </c>
    </row>
    <row r="384" spans="1:11" customFormat="1" hidden="1">
      <c r="A384">
        <v>4703</v>
      </c>
      <c r="B384" t="s">
        <v>2171</v>
      </c>
      <c r="C384" s="46">
        <v>1942</v>
      </c>
      <c r="D384" s="46">
        <v>20875</v>
      </c>
      <c r="E384" s="46">
        <v>262022</v>
      </c>
      <c r="F384">
        <v>-90.69</v>
      </c>
      <c r="G384">
        <v>-99.25</v>
      </c>
      <c r="H384" s="46">
        <v>1464662</v>
      </c>
      <c r="I384" s="46">
        <v>2232008</v>
      </c>
      <c r="J384">
        <v>-34.369999999999997</v>
      </c>
      <c r="K384">
        <v>0</v>
      </c>
    </row>
    <row r="385" spans="1:11" customFormat="1" hidden="1">
      <c r="A385">
        <v>4702</v>
      </c>
      <c r="B385" t="s">
        <v>386</v>
      </c>
      <c r="C385" s="46">
        <v>72575</v>
      </c>
      <c r="D385" s="46">
        <v>88368</v>
      </c>
      <c r="E385" s="46">
        <v>82828</v>
      </c>
      <c r="F385">
        <v>-17.87</v>
      </c>
      <c r="G385">
        <v>-12.37</v>
      </c>
      <c r="H385" s="46">
        <v>905539</v>
      </c>
      <c r="I385" s="46">
        <v>1042391</v>
      </c>
      <c r="J385" s="233">
        <v>-13.12</v>
      </c>
      <c r="K385">
        <v>0</v>
      </c>
    </row>
    <row r="386" spans="1:11" customFormat="1" hidden="1">
      <c r="A386">
        <v>4609</v>
      </c>
      <c r="B386" t="s">
        <v>2127</v>
      </c>
      <c r="C386" s="46">
        <v>165452</v>
      </c>
      <c r="D386" s="46">
        <v>205178</v>
      </c>
      <c r="E386" s="46">
        <v>124723</v>
      </c>
      <c r="F386">
        <v>-19.36</v>
      </c>
      <c r="G386">
        <v>32.65</v>
      </c>
      <c r="H386" s="46">
        <v>994935</v>
      </c>
      <c r="I386" s="46">
        <v>884747</v>
      </c>
      <c r="J386">
        <v>12.45</v>
      </c>
      <c r="K386" s="242">
        <v>1</v>
      </c>
    </row>
    <row r="387" spans="1:11" customFormat="1" hidden="1">
      <c r="A387">
        <v>4550</v>
      </c>
      <c r="B387" t="s">
        <v>385</v>
      </c>
      <c r="C387" s="46">
        <v>85788</v>
      </c>
      <c r="D387" s="46">
        <v>107073</v>
      </c>
      <c r="E387" s="46">
        <v>152259</v>
      </c>
      <c r="F387">
        <v>-19.87</v>
      </c>
      <c r="G387">
        <v>-43.65</v>
      </c>
      <c r="H387" s="46">
        <v>943780</v>
      </c>
      <c r="I387" s="46">
        <v>916906</v>
      </c>
      <c r="J387">
        <v>2.93</v>
      </c>
      <c r="K387">
        <v>0</v>
      </c>
    </row>
    <row r="388" spans="1:11" customFormat="1" hidden="1">
      <c r="A388">
        <v>4549</v>
      </c>
      <c r="B388" t="s">
        <v>384</v>
      </c>
      <c r="C388" s="46">
        <v>66585</v>
      </c>
      <c r="D388" s="46">
        <v>65192</v>
      </c>
      <c r="E388" s="46">
        <v>89671</v>
      </c>
      <c r="F388">
        <v>2.13</v>
      </c>
      <c r="G388">
        <v>-25.74</v>
      </c>
      <c r="H388" s="46">
        <v>685301</v>
      </c>
      <c r="I388" s="46">
        <v>752913</v>
      </c>
      <c r="J388">
        <v>-8.98</v>
      </c>
      <c r="K388">
        <v>0</v>
      </c>
    </row>
    <row r="389" spans="1:11" customFormat="1" hidden="1">
      <c r="A389">
        <v>4542</v>
      </c>
      <c r="B389" t="s">
        <v>383</v>
      </c>
      <c r="C389" s="46">
        <v>26249</v>
      </c>
      <c r="D389" s="46">
        <v>60602</v>
      </c>
      <c r="E389" s="46">
        <v>60086</v>
      </c>
      <c r="F389">
        <v>-56.68</v>
      </c>
      <c r="G389">
        <v>-56.31</v>
      </c>
      <c r="H389" s="46">
        <v>438680</v>
      </c>
      <c r="I389" s="46">
        <v>629595</v>
      </c>
      <c r="J389">
        <v>-30.32</v>
      </c>
      <c r="K389">
        <v>0</v>
      </c>
    </row>
    <row r="390" spans="1:11" customFormat="1" hidden="1">
      <c r="A390">
        <v>4541</v>
      </c>
      <c r="B390" t="s">
        <v>2088</v>
      </c>
      <c r="C390" s="46">
        <v>87238</v>
      </c>
      <c r="D390" s="46">
        <v>96113</v>
      </c>
      <c r="E390" s="46">
        <v>77255</v>
      </c>
      <c r="F390">
        <v>-9.23</v>
      </c>
      <c r="G390">
        <v>12.92</v>
      </c>
      <c r="H390" s="46">
        <v>860120</v>
      </c>
      <c r="I390" s="46">
        <v>852273</v>
      </c>
      <c r="J390">
        <v>0.92</v>
      </c>
      <c r="K390">
        <v>0</v>
      </c>
    </row>
    <row r="391" spans="1:11" customFormat="1" hidden="1">
      <c r="A391">
        <v>4535</v>
      </c>
      <c r="B391" t="s">
        <v>2125</v>
      </c>
      <c r="C391" s="46">
        <v>285753</v>
      </c>
      <c r="D391" s="46">
        <v>281534</v>
      </c>
      <c r="E391" s="46">
        <v>280793</v>
      </c>
      <c r="F391">
        <v>1.49</v>
      </c>
      <c r="G391">
        <v>1.76</v>
      </c>
      <c r="H391" s="46">
        <v>2788880</v>
      </c>
      <c r="I391" s="46">
        <v>2865202</v>
      </c>
      <c r="J391">
        <v>-2.66</v>
      </c>
      <c r="K391">
        <v>0</v>
      </c>
    </row>
    <row r="392" spans="1:11" customFormat="1" hidden="1">
      <c r="A392">
        <v>4534</v>
      </c>
      <c r="B392" t="s">
        <v>2124</v>
      </c>
      <c r="C392" s="46">
        <v>91075</v>
      </c>
      <c r="D392" s="46">
        <v>86816</v>
      </c>
      <c r="E392" s="46">
        <v>82967</v>
      </c>
      <c r="F392">
        <v>4.9000000000000004</v>
      </c>
      <c r="G392">
        <v>9.77</v>
      </c>
      <c r="H392" s="46">
        <v>952320</v>
      </c>
      <c r="I392" s="46">
        <v>938005</v>
      </c>
      <c r="J392">
        <v>1.52</v>
      </c>
      <c r="K392">
        <v>0</v>
      </c>
    </row>
    <row r="393" spans="1:11" customFormat="1" hidden="1">
      <c r="A393">
        <v>4533</v>
      </c>
      <c r="B393" t="s">
        <v>1939</v>
      </c>
      <c r="C393" s="46">
        <v>245478</v>
      </c>
      <c r="D393" s="46">
        <v>279977</v>
      </c>
      <c r="E393" s="46">
        <v>320140</v>
      </c>
      <c r="F393">
        <v>-12.32</v>
      </c>
      <c r="G393">
        <v>-23.32</v>
      </c>
      <c r="H393" s="46">
        <v>2792791</v>
      </c>
      <c r="I393" s="46">
        <v>3396514</v>
      </c>
      <c r="J393">
        <v>-17.77</v>
      </c>
      <c r="K393">
        <v>0</v>
      </c>
    </row>
    <row r="394" spans="1:11" customFormat="1" hidden="1">
      <c r="A394">
        <v>4530</v>
      </c>
      <c r="B394" t="s">
        <v>2123</v>
      </c>
      <c r="C394" s="46">
        <v>1536</v>
      </c>
      <c r="D394" s="46">
        <v>3495</v>
      </c>
      <c r="E394" s="46">
        <v>5660</v>
      </c>
      <c r="F394">
        <v>-56.05</v>
      </c>
      <c r="G394">
        <v>-72.86</v>
      </c>
      <c r="H394" s="46">
        <v>53420</v>
      </c>
      <c r="I394" s="46">
        <v>61463</v>
      </c>
      <c r="J394">
        <v>-13.08</v>
      </c>
      <c r="K394">
        <v>0</v>
      </c>
    </row>
    <row r="395" spans="1:11" customFormat="1" hidden="1">
      <c r="A395">
        <v>4529</v>
      </c>
      <c r="B395" t="s">
        <v>1606</v>
      </c>
      <c r="C395" s="46">
        <v>403</v>
      </c>
      <c r="D395" s="46">
        <v>404</v>
      </c>
      <c r="E395" s="46">
        <v>-674</v>
      </c>
      <c r="F395">
        <v>-0.24</v>
      </c>
      <c r="G395">
        <v>159.79</v>
      </c>
      <c r="H395" s="46">
        <v>29572</v>
      </c>
      <c r="I395" s="46">
        <v>18736</v>
      </c>
      <c r="J395">
        <v>57.83</v>
      </c>
      <c r="K395">
        <v>0</v>
      </c>
    </row>
    <row r="396" spans="1:11" customFormat="1" hidden="1">
      <c r="A396">
        <v>4528</v>
      </c>
      <c r="B396" t="s">
        <v>1938</v>
      </c>
      <c r="C396" s="46">
        <v>189745</v>
      </c>
      <c r="D396" s="46">
        <v>188569</v>
      </c>
      <c r="E396" s="46">
        <v>159117</v>
      </c>
      <c r="F396">
        <v>0.62</v>
      </c>
      <c r="G396">
        <v>19.239999999999998</v>
      </c>
      <c r="H396" s="46">
        <v>1848178</v>
      </c>
      <c r="I396" s="46">
        <v>1448551</v>
      </c>
      <c r="J396">
        <v>27.58</v>
      </c>
      <c r="K396">
        <v>0</v>
      </c>
    </row>
    <row r="397" spans="1:11" customFormat="1" hidden="1">
      <c r="A397">
        <v>4527</v>
      </c>
      <c r="B397" t="s">
        <v>1937</v>
      </c>
      <c r="C397" s="46">
        <v>240117</v>
      </c>
      <c r="D397" s="46">
        <v>227788</v>
      </c>
      <c r="E397" s="46">
        <v>205323</v>
      </c>
      <c r="F397">
        <v>5.41</v>
      </c>
      <c r="G397">
        <v>16.940000000000001</v>
      </c>
      <c r="H397" s="46">
        <v>1960301</v>
      </c>
      <c r="I397" s="46">
        <v>2080507</v>
      </c>
      <c r="J397">
        <v>-5.77</v>
      </c>
      <c r="K397" s="242">
        <v>1</v>
      </c>
    </row>
    <row r="398" spans="1:11" customFormat="1" hidden="1">
      <c r="A398">
        <v>4523</v>
      </c>
      <c r="B398" t="s">
        <v>2122</v>
      </c>
      <c r="C398" s="46">
        <v>124231</v>
      </c>
      <c r="D398" s="46">
        <v>147474</v>
      </c>
      <c r="E398" s="46">
        <v>123844</v>
      </c>
      <c r="F398">
        <v>-15.76</v>
      </c>
      <c r="G398">
        <v>0.31</v>
      </c>
      <c r="H398" s="46">
        <v>1277743</v>
      </c>
      <c r="I398" s="46">
        <v>1120356</v>
      </c>
      <c r="J398">
        <v>14.04</v>
      </c>
      <c r="K398">
        <v>0</v>
      </c>
    </row>
    <row r="399" spans="1:11" customFormat="1" hidden="1">
      <c r="A399">
        <v>4513</v>
      </c>
      <c r="B399" t="s">
        <v>1936</v>
      </c>
      <c r="C399" s="46">
        <v>138651</v>
      </c>
      <c r="D399" s="46">
        <v>149074</v>
      </c>
      <c r="E399" s="46">
        <v>213916</v>
      </c>
      <c r="F399">
        <v>-6.99</v>
      </c>
      <c r="G399">
        <v>-35.18</v>
      </c>
      <c r="H399" s="46">
        <v>1837075</v>
      </c>
      <c r="I399" s="46">
        <v>2041347</v>
      </c>
      <c r="J399">
        <v>-10</v>
      </c>
      <c r="K399">
        <v>0</v>
      </c>
    </row>
    <row r="400" spans="1:11" customFormat="1" hidden="1">
      <c r="A400">
        <v>4510</v>
      </c>
      <c r="B400" t="s">
        <v>1935</v>
      </c>
      <c r="C400" s="46">
        <v>176588</v>
      </c>
      <c r="D400" s="46">
        <v>169331</v>
      </c>
      <c r="E400" s="46">
        <v>173852</v>
      </c>
      <c r="F400">
        <v>4.28</v>
      </c>
      <c r="G400">
        <v>1.57</v>
      </c>
      <c r="H400" s="46">
        <v>1755019</v>
      </c>
      <c r="I400" s="46">
        <v>1723406</v>
      </c>
      <c r="J400">
        <v>1.83</v>
      </c>
      <c r="K400">
        <v>0</v>
      </c>
    </row>
    <row r="401" spans="1:11" customFormat="1" hidden="1">
      <c r="A401">
        <v>4506</v>
      </c>
      <c r="B401" t="s">
        <v>382</v>
      </c>
      <c r="C401" s="46">
        <v>271362</v>
      </c>
      <c r="D401" s="46">
        <v>308038</v>
      </c>
      <c r="E401" s="46">
        <v>271477</v>
      </c>
      <c r="F401">
        <v>-11.9</v>
      </c>
      <c r="G401">
        <v>-0.04</v>
      </c>
      <c r="H401" s="46">
        <v>3583723</v>
      </c>
      <c r="I401" s="46">
        <v>2664083</v>
      </c>
      <c r="J401">
        <v>34.51</v>
      </c>
      <c r="K401" s="242">
        <v>0</v>
      </c>
    </row>
    <row r="402" spans="1:11" customFormat="1" hidden="1">
      <c r="A402">
        <v>4503</v>
      </c>
      <c r="B402" t="s">
        <v>381</v>
      </c>
      <c r="C402" s="46">
        <v>18528</v>
      </c>
      <c r="D402" s="46">
        <v>18615</v>
      </c>
      <c r="E402" s="46">
        <v>14389</v>
      </c>
      <c r="F402">
        <v>-0.46</v>
      </c>
      <c r="G402">
        <v>28.76</v>
      </c>
      <c r="H402" s="46">
        <v>160321</v>
      </c>
      <c r="I402" s="46">
        <v>149061</v>
      </c>
      <c r="J402">
        <v>7.55</v>
      </c>
      <c r="K402">
        <v>1</v>
      </c>
    </row>
    <row r="403" spans="1:11" customFormat="1">
      <c r="A403" s="62" t="str">
        <f>HYPERLINK("http://tw.stock.yahoo.com/q/ta?s=3081","3081")</f>
        <v>3081</v>
      </c>
      <c r="B403" s="62" t="str">
        <f>HYPERLINK("http://tw.stock.yahoo.com/d/s/earning_3081.html","聯亞光電")</f>
        <v>聯亞光電</v>
      </c>
      <c r="C403" s="46">
        <v>205349</v>
      </c>
      <c r="D403" s="46">
        <v>191659</v>
      </c>
      <c r="E403" s="46">
        <v>116403</v>
      </c>
      <c r="F403">
        <v>7.14</v>
      </c>
      <c r="G403">
        <v>76.41</v>
      </c>
      <c r="H403" s="46">
        <v>1612244</v>
      </c>
      <c r="I403" s="46">
        <v>1057469</v>
      </c>
      <c r="J403">
        <v>52.46</v>
      </c>
      <c r="K403">
        <v>1</v>
      </c>
    </row>
    <row r="404" spans="1:11" customFormat="1" hidden="1">
      <c r="A404">
        <v>4433</v>
      </c>
      <c r="B404" t="s">
        <v>2119</v>
      </c>
      <c r="C404" s="46">
        <v>132014</v>
      </c>
      <c r="D404" s="46">
        <v>132140</v>
      </c>
      <c r="E404" s="46">
        <v>138526</v>
      </c>
      <c r="F404">
        <v>-0.09</v>
      </c>
      <c r="G404">
        <v>-4.7</v>
      </c>
      <c r="H404" s="46">
        <v>1233466</v>
      </c>
      <c r="I404" s="46">
        <v>1180112</v>
      </c>
      <c r="J404">
        <v>4.5199999999999996</v>
      </c>
      <c r="K404" s="242">
        <v>1</v>
      </c>
    </row>
    <row r="405" spans="1:11" customFormat="1" hidden="1">
      <c r="A405">
        <v>4432</v>
      </c>
      <c r="B405" t="s">
        <v>1598</v>
      </c>
      <c r="C405" s="46">
        <v>132494</v>
      </c>
      <c r="D405" s="46">
        <v>176371</v>
      </c>
      <c r="E405" s="46">
        <v>143140</v>
      </c>
      <c r="F405">
        <v>-24.87</v>
      </c>
      <c r="G405">
        <v>-7.43</v>
      </c>
      <c r="H405" s="46">
        <v>1964523</v>
      </c>
      <c r="I405" s="46">
        <v>2230956</v>
      </c>
      <c r="J405">
        <v>-11.94</v>
      </c>
      <c r="K405">
        <v>0</v>
      </c>
    </row>
    <row r="406" spans="1:11" customFormat="1" hidden="1">
      <c r="A406">
        <v>4430</v>
      </c>
      <c r="B406" t="s">
        <v>2244</v>
      </c>
      <c r="C406" s="46">
        <v>132480</v>
      </c>
      <c r="D406" s="46">
        <v>137043</v>
      </c>
      <c r="E406" s="46">
        <v>171051</v>
      </c>
      <c r="F406">
        <v>-3.32</v>
      </c>
      <c r="G406">
        <v>-22.54</v>
      </c>
      <c r="H406" s="46">
        <v>1585267</v>
      </c>
      <c r="I406" s="46">
        <v>1747512</v>
      </c>
      <c r="J406">
        <v>-9.2799999999999994</v>
      </c>
      <c r="K406">
        <v>0</v>
      </c>
    </row>
    <row r="407" spans="1:11" customFormat="1" hidden="1">
      <c r="A407">
        <v>4429</v>
      </c>
      <c r="B407" t="s">
        <v>380</v>
      </c>
      <c r="C407" s="46">
        <v>72852</v>
      </c>
      <c r="D407" s="46">
        <v>77156</v>
      </c>
      <c r="E407" s="46">
        <v>95661</v>
      </c>
      <c r="F407">
        <v>-5.57</v>
      </c>
      <c r="G407">
        <v>-23.84</v>
      </c>
      <c r="H407" s="46">
        <v>816732</v>
      </c>
      <c r="I407" s="46">
        <v>953400</v>
      </c>
      <c r="J407">
        <v>-14.33</v>
      </c>
      <c r="K407">
        <v>0</v>
      </c>
    </row>
    <row r="408" spans="1:11" customFormat="1" hidden="1">
      <c r="A408">
        <v>4420</v>
      </c>
      <c r="B408" t="s">
        <v>2099</v>
      </c>
      <c r="C408" s="46">
        <v>83756</v>
      </c>
      <c r="D408" s="46">
        <v>80646</v>
      </c>
      <c r="E408" s="46">
        <v>35440</v>
      </c>
      <c r="F408">
        <v>3.85</v>
      </c>
      <c r="G408">
        <v>136.33000000000001</v>
      </c>
      <c r="H408" s="46">
        <v>452303</v>
      </c>
      <c r="I408" s="46">
        <v>356799</v>
      </c>
      <c r="J408">
        <v>26.76</v>
      </c>
      <c r="K408">
        <v>1</v>
      </c>
    </row>
    <row r="409" spans="1:11" customFormat="1" hidden="1">
      <c r="A409">
        <v>4419</v>
      </c>
      <c r="B409" t="s">
        <v>2098</v>
      </c>
      <c r="C409" s="46">
        <v>3071</v>
      </c>
      <c r="D409" s="46">
        <v>3967</v>
      </c>
      <c r="E409" s="46">
        <v>9100</v>
      </c>
      <c r="F409">
        <v>-22.58</v>
      </c>
      <c r="G409">
        <v>-66.25</v>
      </c>
      <c r="H409" s="46">
        <v>59536</v>
      </c>
      <c r="I409" s="46">
        <v>114687</v>
      </c>
      <c r="J409" s="233">
        <v>-48.08</v>
      </c>
      <c r="K409">
        <v>0</v>
      </c>
    </row>
    <row r="410" spans="1:11" customFormat="1" hidden="1">
      <c r="A410">
        <v>4417</v>
      </c>
      <c r="B410" t="s">
        <v>2118</v>
      </c>
      <c r="C410" s="46">
        <v>193724</v>
      </c>
      <c r="D410" s="46">
        <v>232108</v>
      </c>
      <c r="E410" s="46">
        <v>301051</v>
      </c>
      <c r="F410">
        <v>-16.53</v>
      </c>
      <c r="G410">
        <v>-35.65</v>
      </c>
      <c r="H410" s="46">
        <v>2424178</v>
      </c>
      <c r="I410" s="46">
        <v>2380765</v>
      </c>
      <c r="J410">
        <v>1.82</v>
      </c>
      <c r="K410">
        <v>0</v>
      </c>
    </row>
    <row r="411" spans="1:11" customFormat="1" hidden="1">
      <c r="A411">
        <v>4416</v>
      </c>
      <c r="B411" t="s">
        <v>379</v>
      </c>
      <c r="C411" s="46">
        <v>8267</v>
      </c>
      <c r="D411" s="46">
        <v>8280</v>
      </c>
      <c r="E411" s="46">
        <v>52055</v>
      </c>
      <c r="F411">
        <v>-0.15</v>
      </c>
      <c r="G411">
        <v>-84.11</v>
      </c>
      <c r="H411" s="46">
        <v>1729508</v>
      </c>
      <c r="I411" s="46">
        <v>3029344</v>
      </c>
      <c r="J411">
        <v>-42.9</v>
      </c>
      <c r="K411" s="242">
        <v>0</v>
      </c>
    </row>
    <row r="412" spans="1:11" customFormat="1">
      <c r="A412" s="62" t="str">
        <f>HYPERLINK("http://tw.stock.yahoo.com/q/ta?s=3521","3521")</f>
        <v>3521</v>
      </c>
      <c r="B412" s="62" t="str">
        <f>HYPERLINK("http://tw.stock.yahoo.com/d/s/earning_3521.html","鴻翊")</f>
        <v>鴻翊</v>
      </c>
      <c r="C412" s="46">
        <v>97066</v>
      </c>
      <c r="D412" s="46">
        <v>86990</v>
      </c>
      <c r="E412" s="46">
        <v>35729</v>
      </c>
      <c r="F412">
        <v>11.58</v>
      </c>
      <c r="G412">
        <v>171.67</v>
      </c>
      <c r="H412" s="46">
        <v>483905</v>
      </c>
      <c r="I412" s="46">
        <v>338597</v>
      </c>
      <c r="J412">
        <v>42.91</v>
      </c>
      <c r="K412">
        <v>1</v>
      </c>
    </row>
    <row r="413" spans="1:11" customFormat="1" hidden="1">
      <c r="A413">
        <v>4413</v>
      </c>
      <c r="B413" t="s">
        <v>2117</v>
      </c>
      <c r="C413" s="46">
        <v>21797</v>
      </c>
      <c r="D413" s="46">
        <v>38211</v>
      </c>
      <c r="E413" s="46">
        <v>4611</v>
      </c>
      <c r="F413">
        <v>-42.95</v>
      </c>
      <c r="G413">
        <v>372.71</v>
      </c>
      <c r="H413" s="46">
        <v>187390</v>
      </c>
      <c r="I413" s="46">
        <v>58806</v>
      </c>
      <c r="J413">
        <v>218.65</v>
      </c>
      <c r="K413">
        <v>1</v>
      </c>
    </row>
    <row r="414" spans="1:11" customFormat="1" hidden="1">
      <c r="A414">
        <v>4406</v>
      </c>
      <c r="B414" t="s">
        <v>1933</v>
      </c>
      <c r="C414" s="46">
        <v>61153</v>
      </c>
      <c r="D414" s="46">
        <v>50696</v>
      </c>
      <c r="E414" s="46">
        <v>67663</v>
      </c>
      <c r="F414">
        <v>20.62</v>
      </c>
      <c r="G414">
        <v>-9.6199999999999992</v>
      </c>
      <c r="H414" s="46">
        <v>635918</v>
      </c>
      <c r="I414" s="46">
        <v>688899</v>
      </c>
      <c r="J414">
        <v>-7.69</v>
      </c>
      <c r="K414">
        <v>0</v>
      </c>
    </row>
    <row r="415" spans="1:11" customFormat="1" hidden="1">
      <c r="A415">
        <v>4402</v>
      </c>
      <c r="B415" t="s">
        <v>378</v>
      </c>
      <c r="C415" s="46">
        <v>35266</v>
      </c>
      <c r="D415" s="46">
        <v>67893</v>
      </c>
      <c r="E415" s="46">
        <v>118985</v>
      </c>
      <c r="F415">
        <v>-48.05</v>
      </c>
      <c r="G415">
        <v>-70.36</v>
      </c>
      <c r="H415" s="46">
        <v>774011</v>
      </c>
      <c r="I415" s="46">
        <v>1132047</v>
      </c>
      <c r="J415">
        <v>-31.62</v>
      </c>
      <c r="K415">
        <v>0</v>
      </c>
    </row>
    <row r="416" spans="1:11" customFormat="1" hidden="1">
      <c r="A416">
        <v>4401</v>
      </c>
      <c r="B416" t="s">
        <v>2116</v>
      </c>
      <c r="C416" s="46">
        <v>392884</v>
      </c>
      <c r="D416" s="46">
        <v>381853</v>
      </c>
      <c r="E416" s="46">
        <v>376209</v>
      </c>
      <c r="F416">
        <v>2.88</v>
      </c>
      <c r="G416">
        <v>4.43</v>
      </c>
      <c r="H416" s="46">
        <v>3903541</v>
      </c>
      <c r="I416" s="46">
        <v>3670222</v>
      </c>
      <c r="J416">
        <v>6.35</v>
      </c>
      <c r="K416">
        <v>0</v>
      </c>
    </row>
    <row r="417" spans="1:11" customFormat="1" hidden="1">
      <c r="A417">
        <v>4305</v>
      </c>
      <c r="B417" t="s">
        <v>1932</v>
      </c>
      <c r="C417" s="46">
        <v>108735</v>
      </c>
      <c r="D417" s="46">
        <v>105545</v>
      </c>
      <c r="E417" s="46">
        <v>142370</v>
      </c>
      <c r="F417">
        <v>3.02</v>
      </c>
      <c r="G417">
        <v>-23.62</v>
      </c>
      <c r="H417" s="46">
        <v>1033167</v>
      </c>
      <c r="I417" s="46">
        <v>1206816</v>
      </c>
      <c r="J417">
        <v>-14.38</v>
      </c>
      <c r="K417">
        <v>1</v>
      </c>
    </row>
    <row r="418" spans="1:11" customFormat="1" hidden="1">
      <c r="A418">
        <v>4304</v>
      </c>
      <c r="B418" t="s">
        <v>377</v>
      </c>
      <c r="C418" s="46">
        <v>35004</v>
      </c>
      <c r="D418" s="46">
        <v>32617</v>
      </c>
      <c r="E418" s="46">
        <v>40986</v>
      </c>
      <c r="F418">
        <v>7.31</v>
      </c>
      <c r="G418">
        <v>-14.59</v>
      </c>
      <c r="H418" s="46">
        <v>340169</v>
      </c>
      <c r="I418" s="46">
        <v>474370</v>
      </c>
      <c r="J418">
        <v>-28.29</v>
      </c>
      <c r="K418">
        <v>0</v>
      </c>
    </row>
    <row r="419" spans="1:11" customFormat="1" hidden="1">
      <c r="A419">
        <v>4303</v>
      </c>
      <c r="B419" t="s">
        <v>1588</v>
      </c>
      <c r="C419" s="46">
        <v>56973</v>
      </c>
      <c r="D419" s="46">
        <v>47211</v>
      </c>
      <c r="E419" s="46">
        <v>56337</v>
      </c>
      <c r="F419">
        <v>20.67</v>
      </c>
      <c r="G419">
        <v>1.1200000000000001</v>
      </c>
      <c r="H419" s="46">
        <v>549650</v>
      </c>
      <c r="I419" s="46">
        <v>570756</v>
      </c>
      <c r="J419">
        <v>-3.69</v>
      </c>
      <c r="K419">
        <v>0</v>
      </c>
    </row>
    <row r="420" spans="1:11" customFormat="1" hidden="1">
      <c r="A420">
        <v>4207</v>
      </c>
      <c r="B420" t="s">
        <v>2097</v>
      </c>
      <c r="C420" s="46">
        <v>256261</v>
      </c>
      <c r="D420" s="46">
        <v>254555</v>
      </c>
      <c r="E420" s="46">
        <v>252788</v>
      </c>
      <c r="F420">
        <v>0.67</v>
      </c>
      <c r="G420">
        <v>1.37</v>
      </c>
      <c r="H420" s="46">
        <v>2705340</v>
      </c>
      <c r="I420" s="46">
        <v>2828083</v>
      </c>
      <c r="J420">
        <v>-4.34</v>
      </c>
      <c r="K420">
        <v>0</v>
      </c>
    </row>
    <row r="421" spans="1:11" customFormat="1" hidden="1">
      <c r="A421">
        <v>4205</v>
      </c>
      <c r="B421" t="s">
        <v>1931</v>
      </c>
      <c r="C421" s="46">
        <v>116468</v>
      </c>
      <c r="D421" s="46">
        <v>102809</v>
      </c>
      <c r="E421" s="46">
        <v>105035</v>
      </c>
      <c r="F421">
        <v>13.28</v>
      </c>
      <c r="G421">
        <v>10.88</v>
      </c>
      <c r="H421" s="46">
        <v>1080543</v>
      </c>
      <c r="I421" s="46">
        <v>1020020</v>
      </c>
      <c r="J421">
        <v>5.93</v>
      </c>
      <c r="K421">
        <v>1</v>
      </c>
    </row>
    <row r="422" spans="1:11" customFormat="1" hidden="1">
      <c r="A422" s="219">
        <v>4198</v>
      </c>
      <c r="B422" s="219" t="s">
        <v>376</v>
      </c>
      <c r="C422" s="240">
        <v>30971</v>
      </c>
      <c r="D422" s="240">
        <v>66586</v>
      </c>
      <c r="E422" s="240">
        <v>66515</v>
      </c>
      <c r="F422" s="27">
        <v>-53.48</v>
      </c>
      <c r="G422" s="27">
        <v>-53.43</v>
      </c>
      <c r="H422" s="240">
        <v>515129</v>
      </c>
      <c r="I422" s="240">
        <v>492891</v>
      </c>
      <c r="J422" s="27">
        <v>4.51</v>
      </c>
      <c r="K422" s="243">
        <v>0</v>
      </c>
    </row>
    <row r="423" spans="1:11" customFormat="1" hidden="1">
      <c r="A423">
        <v>4192</v>
      </c>
      <c r="B423" t="s">
        <v>1958</v>
      </c>
      <c r="C423" s="46">
        <v>558</v>
      </c>
      <c r="D423" s="46">
        <v>672</v>
      </c>
      <c r="E423" s="46">
        <v>600</v>
      </c>
      <c r="F423">
        <v>-16.96</v>
      </c>
      <c r="G423">
        <v>-7</v>
      </c>
      <c r="H423" s="46">
        <v>14197</v>
      </c>
      <c r="I423" s="46">
        <v>4148</v>
      </c>
      <c r="J423">
        <v>242.26</v>
      </c>
      <c r="K423">
        <v>0</v>
      </c>
    </row>
    <row r="424" spans="1:11" customFormat="1" hidden="1">
      <c r="A424">
        <v>4188</v>
      </c>
      <c r="B424" t="s">
        <v>1957</v>
      </c>
      <c r="C424" s="46">
        <v>31</v>
      </c>
      <c r="D424" s="46">
        <v>0</v>
      </c>
      <c r="E424" s="46">
        <v>0</v>
      </c>
      <c r="H424" s="46">
        <v>31</v>
      </c>
      <c r="I424" s="46">
        <v>0</v>
      </c>
      <c r="K424">
        <v>1</v>
      </c>
    </row>
    <row r="425" spans="1:11" customFormat="1">
      <c r="A425" s="62" t="str">
        <f>HYPERLINK("http://tw.stock.yahoo.com/q/ta?s=4979","4979")</f>
        <v>4979</v>
      </c>
      <c r="B425" s="62" t="str">
        <f>HYPERLINK("http://tw.stock.yahoo.com/d/s/earning_4979.html","華星光")</f>
        <v>華星光</v>
      </c>
      <c r="C425" s="46">
        <v>378589</v>
      </c>
      <c r="D425" s="46">
        <v>281404</v>
      </c>
      <c r="E425" s="46">
        <v>272117</v>
      </c>
      <c r="F425">
        <v>34.53</v>
      </c>
      <c r="G425">
        <v>39.119999999999997</v>
      </c>
      <c r="H425" s="46">
        <v>3381421</v>
      </c>
      <c r="I425" s="46">
        <v>2395638</v>
      </c>
      <c r="J425">
        <v>41.14</v>
      </c>
      <c r="K425">
        <v>1</v>
      </c>
    </row>
    <row r="426" spans="1:11" customFormat="1" hidden="1">
      <c r="A426">
        <v>4175</v>
      </c>
      <c r="B426" t="s">
        <v>375</v>
      </c>
      <c r="C426" s="46">
        <v>343294</v>
      </c>
      <c r="D426" s="46">
        <v>324997</v>
      </c>
      <c r="E426" s="46">
        <v>309500</v>
      </c>
      <c r="F426">
        <v>5.62</v>
      </c>
      <c r="G426">
        <v>10.91</v>
      </c>
      <c r="H426" s="46">
        <v>3168808</v>
      </c>
      <c r="I426" s="46">
        <v>2952978</v>
      </c>
      <c r="J426">
        <v>7.3</v>
      </c>
      <c r="K426">
        <v>1</v>
      </c>
    </row>
    <row r="427" spans="1:11" customFormat="1" hidden="1">
      <c r="A427">
        <v>4174</v>
      </c>
      <c r="B427" t="s">
        <v>374</v>
      </c>
      <c r="C427" s="46">
        <v>0</v>
      </c>
      <c r="D427" s="46">
        <v>0</v>
      </c>
      <c r="E427" s="46">
        <v>0</v>
      </c>
      <c r="H427" s="46">
        <v>0</v>
      </c>
      <c r="I427" s="46">
        <v>0</v>
      </c>
      <c r="K427">
        <v>0</v>
      </c>
    </row>
    <row r="428" spans="1:11" customFormat="1" hidden="1">
      <c r="A428">
        <v>4173</v>
      </c>
      <c r="B428" t="s">
        <v>373</v>
      </c>
      <c r="C428" s="46">
        <v>116018</v>
      </c>
      <c r="D428" s="46">
        <v>97559</v>
      </c>
      <c r="E428" s="46">
        <v>117900</v>
      </c>
      <c r="F428">
        <v>18.920000000000002</v>
      </c>
      <c r="G428">
        <v>-1.59</v>
      </c>
      <c r="H428" s="46">
        <v>1112575</v>
      </c>
      <c r="I428" s="46">
        <v>1129171</v>
      </c>
      <c r="J428">
        <v>-1.46</v>
      </c>
      <c r="K428">
        <v>0</v>
      </c>
    </row>
    <row r="429" spans="1:11" customFormat="1" hidden="1">
      <c r="A429">
        <v>4171</v>
      </c>
      <c r="B429" t="s">
        <v>1956</v>
      </c>
      <c r="C429" s="46">
        <v>14834</v>
      </c>
      <c r="D429" s="46">
        <v>11871</v>
      </c>
      <c r="E429" s="46">
        <v>8997</v>
      </c>
      <c r="F429">
        <v>24.95</v>
      </c>
      <c r="G429">
        <v>64.87</v>
      </c>
      <c r="H429" s="46">
        <v>127356</v>
      </c>
      <c r="I429" s="46">
        <v>115719</v>
      </c>
      <c r="J429">
        <v>10.050000000000001</v>
      </c>
      <c r="K429">
        <v>1</v>
      </c>
    </row>
    <row r="430" spans="1:11" customFormat="1" hidden="1">
      <c r="A430">
        <v>4168</v>
      </c>
      <c r="B430" t="s">
        <v>372</v>
      </c>
      <c r="C430" s="46">
        <v>1314</v>
      </c>
      <c r="D430" s="46">
        <v>0</v>
      </c>
      <c r="E430" s="46">
        <v>25</v>
      </c>
      <c r="G430" s="233">
        <v>5156</v>
      </c>
      <c r="H430" s="46">
        <v>6879</v>
      </c>
      <c r="I430" s="46">
        <v>496</v>
      </c>
      <c r="J430" s="233">
        <v>1286.8900000000001</v>
      </c>
      <c r="K430">
        <v>1</v>
      </c>
    </row>
    <row r="431" spans="1:11" customFormat="1" hidden="1">
      <c r="A431">
        <v>4167</v>
      </c>
      <c r="B431" t="s">
        <v>371</v>
      </c>
      <c r="C431" s="46">
        <v>95980</v>
      </c>
      <c r="D431" s="46">
        <v>102947</v>
      </c>
      <c r="E431" s="46">
        <v>106186</v>
      </c>
      <c r="F431">
        <v>-6.76</v>
      </c>
      <c r="G431">
        <v>-9.61</v>
      </c>
      <c r="H431" s="46">
        <v>963717</v>
      </c>
      <c r="I431" s="46">
        <v>798069</v>
      </c>
      <c r="J431">
        <v>20.75</v>
      </c>
      <c r="K431">
        <v>0</v>
      </c>
    </row>
    <row r="432" spans="1:11" customFormat="1" hidden="1">
      <c r="A432">
        <v>4163</v>
      </c>
      <c r="B432" t="s">
        <v>1955</v>
      </c>
      <c r="C432" s="46">
        <v>158144</v>
      </c>
      <c r="D432" s="46">
        <v>139724</v>
      </c>
      <c r="E432" s="46">
        <v>184701</v>
      </c>
      <c r="F432">
        <v>13.18</v>
      </c>
      <c r="G432">
        <v>-14.37</v>
      </c>
      <c r="H432" s="46">
        <v>1564306</v>
      </c>
      <c r="I432" s="46">
        <v>1544456</v>
      </c>
      <c r="J432">
        <v>1.28</v>
      </c>
      <c r="K432">
        <v>0</v>
      </c>
    </row>
    <row r="433" spans="1:11" customFormat="1" hidden="1">
      <c r="A433">
        <v>4162</v>
      </c>
      <c r="B433" t="s">
        <v>370</v>
      </c>
      <c r="C433" s="46">
        <v>134</v>
      </c>
      <c r="D433" s="46">
        <v>558</v>
      </c>
      <c r="E433" s="46">
        <v>3093</v>
      </c>
      <c r="F433">
        <v>-75.98</v>
      </c>
      <c r="G433">
        <v>-95.66</v>
      </c>
      <c r="H433" s="46">
        <v>505903</v>
      </c>
      <c r="I433" s="46">
        <v>226402</v>
      </c>
      <c r="J433">
        <v>123.45</v>
      </c>
      <c r="K433">
        <v>0</v>
      </c>
    </row>
    <row r="434" spans="1:11" customFormat="1" hidden="1">
      <c r="A434">
        <v>4161</v>
      </c>
      <c r="B434" t="s">
        <v>1954</v>
      </c>
      <c r="C434" s="46">
        <v>38826</v>
      </c>
      <c r="D434" s="46">
        <v>36341</v>
      </c>
      <c r="E434" s="46">
        <v>36353</v>
      </c>
      <c r="F434">
        <v>6.83</v>
      </c>
      <c r="G434">
        <v>6.8</v>
      </c>
      <c r="H434" s="46">
        <v>372526</v>
      </c>
      <c r="I434" s="46">
        <v>322596</v>
      </c>
      <c r="J434">
        <v>15.47</v>
      </c>
      <c r="K434">
        <v>0</v>
      </c>
    </row>
    <row r="435" spans="1:11" customFormat="1">
      <c r="A435" s="62" t="str">
        <f>HYPERLINK("http://tw.stock.yahoo.com/q/ta?s=3402","3402")</f>
        <v>3402</v>
      </c>
      <c r="B435" s="62" t="str">
        <f>HYPERLINK("http://tw.stock.yahoo.com/d/s/earning_3402.html","漢科系統")</f>
        <v>漢科系統</v>
      </c>
      <c r="C435" s="46">
        <v>214048</v>
      </c>
      <c r="D435" s="46">
        <v>191762</v>
      </c>
      <c r="E435" s="46">
        <v>202997</v>
      </c>
      <c r="F435">
        <v>11.62</v>
      </c>
      <c r="G435" s="233">
        <v>5.44</v>
      </c>
      <c r="H435" s="46">
        <v>2003854</v>
      </c>
      <c r="I435" s="46">
        <v>1458034</v>
      </c>
      <c r="J435" s="233">
        <v>37.43</v>
      </c>
      <c r="K435">
        <v>1</v>
      </c>
    </row>
    <row r="436" spans="1:11" customFormat="1" hidden="1">
      <c r="A436">
        <v>4153</v>
      </c>
      <c r="B436" t="s">
        <v>369</v>
      </c>
      <c r="C436" s="46">
        <v>91926</v>
      </c>
      <c r="D436" s="46">
        <v>101849</v>
      </c>
      <c r="E436" s="46">
        <v>75858</v>
      </c>
      <c r="F436">
        <v>-9.74</v>
      </c>
      <c r="G436">
        <v>21.18</v>
      </c>
      <c r="H436" s="46">
        <v>1099071</v>
      </c>
      <c r="I436" s="46">
        <v>754932</v>
      </c>
      <c r="J436">
        <v>45.58</v>
      </c>
      <c r="K436">
        <v>0</v>
      </c>
    </row>
    <row r="437" spans="1:11" customFormat="1" hidden="1">
      <c r="A437">
        <v>4152</v>
      </c>
      <c r="B437" t="s">
        <v>368</v>
      </c>
      <c r="C437" s="46">
        <v>3696</v>
      </c>
      <c r="D437" s="46">
        <v>3708</v>
      </c>
      <c r="E437" s="46">
        <v>4084</v>
      </c>
      <c r="F437">
        <v>-0.32</v>
      </c>
      <c r="G437">
        <v>-9.5</v>
      </c>
      <c r="H437" s="46">
        <v>52058</v>
      </c>
      <c r="I437" s="46">
        <v>89271</v>
      </c>
      <c r="J437">
        <v>-41.68</v>
      </c>
      <c r="K437">
        <v>0</v>
      </c>
    </row>
    <row r="438" spans="1:11" customFormat="1" hidden="1">
      <c r="A438">
        <v>4138</v>
      </c>
      <c r="B438" t="s">
        <v>2135</v>
      </c>
      <c r="C438" s="46">
        <v>96699</v>
      </c>
      <c r="D438" s="46">
        <v>97200</v>
      </c>
      <c r="E438" s="46">
        <v>91133</v>
      </c>
      <c r="F438">
        <v>-0.51</v>
      </c>
      <c r="G438">
        <v>6.1</v>
      </c>
      <c r="H438" s="46">
        <v>1089847</v>
      </c>
      <c r="I438" s="46">
        <v>982021</v>
      </c>
      <c r="J438">
        <v>10.98</v>
      </c>
      <c r="K438">
        <v>0</v>
      </c>
    </row>
    <row r="439" spans="1:11" customFormat="1" hidden="1">
      <c r="A439">
        <v>4131</v>
      </c>
      <c r="B439" t="s">
        <v>2103</v>
      </c>
      <c r="C439" s="46">
        <v>1879</v>
      </c>
      <c r="D439" s="46">
        <v>518</v>
      </c>
      <c r="E439" s="46">
        <v>845</v>
      </c>
      <c r="F439">
        <v>262.74</v>
      </c>
      <c r="G439">
        <v>122.36</v>
      </c>
      <c r="H439" s="46">
        <v>18611</v>
      </c>
      <c r="I439" s="46">
        <v>18345</v>
      </c>
      <c r="J439">
        <v>1.44</v>
      </c>
      <c r="K439">
        <v>0</v>
      </c>
    </row>
    <row r="440" spans="1:11" customFormat="1" hidden="1">
      <c r="A440">
        <v>4130</v>
      </c>
      <c r="B440" t="s">
        <v>367</v>
      </c>
      <c r="C440" s="46">
        <v>43372</v>
      </c>
      <c r="D440" s="46">
        <v>40536</v>
      </c>
      <c r="E440" s="46">
        <v>39217</v>
      </c>
      <c r="F440">
        <v>6.99</v>
      </c>
      <c r="G440">
        <v>10.59</v>
      </c>
      <c r="H440" s="46">
        <v>393135</v>
      </c>
      <c r="I440" s="46">
        <v>410062</v>
      </c>
      <c r="J440">
        <v>-4.12</v>
      </c>
      <c r="K440" s="242">
        <v>1</v>
      </c>
    </row>
    <row r="441" spans="1:11" customFormat="1" hidden="1">
      <c r="A441">
        <v>4129</v>
      </c>
      <c r="B441" t="s">
        <v>2134</v>
      </c>
      <c r="C441" s="46">
        <v>116460</v>
      </c>
      <c r="D441" s="46">
        <v>101979</v>
      </c>
      <c r="E441" s="46">
        <v>103650</v>
      </c>
      <c r="F441">
        <v>14.19</v>
      </c>
      <c r="G441">
        <v>12.35</v>
      </c>
      <c r="H441" s="46">
        <v>1135936</v>
      </c>
      <c r="I441" s="46">
        <v>894121</v>
      </c>
      <c r="J441">
        <v>27.04</v>
      </c>
      <c r="K441" s="242">
        <v>0</v>
      </c>
    </row>
    <row r="442" spans="1:11" customFormat="1" hidden="1">
      <c r="A442">
        <v>4128</v>
      </c>
      <c r="B442" t="s">
        <v>1953</v>
      </c>
      <c r="C442" s="46">
        <v>155997</v>
      </c>
      <c r="D442" s="46">
        <v>123672</v>
      </c>
      <c r="E442" s="46">
        <v>131278</v>
      </c>
      <c r="F442">
        <v>26.13</v>
      </c>
      <c r="G442">
        <v>18.82</v>
      </c>
      <c r="H442" s="46">
        <v>1270582</v>
      </c>
      <c r="I442" s="46">
        <v>1131168</v>
      </c>
      <c r="J442">
        <v>12.32</v>
      </c>
      <c r="K442">
        <v>1</v>
      </c>
    </row>
    <row r="443" spans="1:11" customFormat="1" hidden="1">
      <c r="A443">
        <v>4127</v>
      </c>
      <c r="B443" t="s">
        <v>2133</v>
      </c>
      <c r="C443" s="46">
        <v>70143</v>
      </c>
      <c r="D443" s="46">
        <v>64038</v>
      </c>
      <c r="E443" s="46">
        <v>78387</v>
      </c>
      <c r="F443">
        <v>9.5299999999999994</v>
      </c>
      <c r="G443">
        <v>-10.51</v>
      </c>
      <c r="H443" s="46">
        <v>723693</v>
      </c>
      <c r="I443" s="46">
        <v>709162</v>
      </c>
      <c r="J443">
        <v>2.04</v>
      </c>
      <c r="K443">
        <v>0</v>
      </c>
    </row>
    <row r="444" spans="1:11" customFormat="1" hidden="1">
      <c r="A444">
        <v>4126</v>
      </c>
      <c r="B444" t="s">
        <v>366</v>
      </c>
      <c r="C444" s="46">
        <v>149070</v>
      </c>
      <c r="D444" s="46">
        <v>138906</v>
      </c>
      <c r="E444" s="46">
        <v>143807</v>
      </c>
      <c r="F444">
        <v>7.31</v>
      </c>
      <c r="G444">
        <v>3.65</v>
      </c>
      <c r="H444" s="46">
        <v>1305763</v>
      </c>
      <c r="I444" s="46">
        <v>1255073</v>
      </c>
      <c r="J444">
        <v>4.03</v>
      </c>
      <c r="K444">
        <v>1</v>
      </c>
    </row>
    <row r="445" spans="1:11" customFormat="1" hidden="1">
      <c r="A445">
        <v>4123</v>
      </c>
      <c r="B445" t="s">
        <v>1570</v>
      </c>
      <c r="C445" s="46">
        <v>919925</v>
      </c>
      <c r="D445" s="46">
        <v>1106383</v>
      </c>
      <c r="E445" s="46">
        <v>77146</v>
      </c>
      <c r="F445">
        <v>-16.850000000000001</v>
      </c>
      <c r="G445" s="233">
        <v>1092.44</v>
      </c>
      <c r="H445" s="46">
        <v>3921243</v>
      </c>
      <c r="I445" s="46">
        <v>732520</v>
      </c>
      <c r="J445">
        <v>435.3</v>
      </c>
      <c r="K445">
        <v>1</v>
      </c>
    </row>
    <row r="446" spans="1:11" customFormat="1" hidden="1">
      <c r="A446">
        <v>4121</v>
      </c>
      <c r="B446" t="s">
        <v>1952</v>
      </c>
      <c r="C446" s="46">
        <v>280908</v>
      </c>
      <c r="D446" s="46">
        <v>274153</v>
      </c>
      <c r="E446" s="46">
        <v>289499</v>
      </c>
      <c r="F446">
        <v>2.46</v>
      </c>
      <c r="G446">
        <v>-2.96</v>
      </c>
      <c r="H446" s="46">
        <v>2834649</v>
      </c>
      <c r="I446" s="46">
        <v>2740466</v>
      </c>
      <c r="J446">
        <v>3.43</v>
      </c>
      <c r="K446">
        <v>0</v>
      </c>
    </row>
    <row r="447" spans="1:11" customFormat="1" hidden="1">
      <c r="A447">
        <v>4120</v>
      </c>
      <c r="B447" t="s">
        <v>365</v>
      </c>
      <c r="C447" s="46">
        <v>411736</v>
      </c>
      <c r="D447" s="46">
        <v>431527</v>
      </c>
      <c r="E447" s="46">
        <v>445885</v>
      </c>
      <c r="F447">
        <v>-4.58</v>
      </c>
      <c r="G447">
        <v>-7.65</v>
      </c>
      <c r="H447" s="46">
        <v>4132897</v>
      </c>
      <c r="I447" s="46">
        <v>4172343</v>
      </c>
      <c r="J447">
        <v>-0.94</v>
      </c>
      <c r="K447">
        <v>0</v>
      </c>
    </row>
    <row r="448" spans="1:11" customFormat="1" hidden="1">
      <c r="A448">
        <v>4114</v>
      </c>
      <c r="B448" t="s">
        <v>2132</v>
      </c>
      <c r="C448" s="46">
        <v>161269</v>
      </c>
      <c r="D448" s="46">
        <v>153044</v>
      </c>
      <c r="E448" s="46">
        <v>135301</v>
      </c>
      <c r="F448">
        <v>5.37</v>
      </c>
      <c r="G448">
        <v>19.190000000000001</v>
      </c>
      <c r="H448" s="46">
        <v>1470208</v>
      </c>
      <c r="I448" s="46">
        <v>1228613</v>
      </c>
      <c r="J448">
        <v>19.66</v>
      </c>
      <c r="K448">
        <v>1</v>
      </c>
    </row>
    <row r="449" spans="1:11" customFormat="1" hidden="1">
      <c r="A449">
        <v>4113</v>
      </c>
      <c r="B449" t="s">
        <v>364</v>
      </c>
      <c r="C449" s="46">
        <v>76941</v>
      </c>
      <c r="D449" s="46">
        <v>13528</v>
      </c>
      <c r="E449" s="46">
        <v>166228</v>
      </c>
      <c r="F449">
        <v>468.75</v>
      </c>
      <c r="G449">
        <v>-53.71</v>
      </c>
      <c r="H449" s="46">
        <v>394167</v>
      </c>
      <c r="I449" s="46">
        <v>2322183</v>
      </c>
      <c r="J449">
        <v>-83.02</v>
      </c>
      <c r="K449" s="242">
        <v>1</v>
      </c>
    </row>
    <row r="450" spans="1:11" customFormat="1" hidden="1">
      <c r="A450">
        <v>4111</v>
      </c>
      <c r="B450" t="s">
        <v>1951</v>
      </c>
      <c r="C450" s="46">
        <v>78344</v>
      </c>
      <c r="D450" s="46">
        <v>78417</v>
      </c>
      <c r="E450" s="46">
        <v>72337</v>
      </c>
      <c r="F450">
        <v>-0.09</v>
      </c>
      <c r="G450">
        <v>8.3000000000000007</v>
      </c>
      <c r="H450" s="46">
        <v>778651</v>
      </c>
      <c r="I450" s="46">
        <v>806979</v>
      </c>
      <c r="J450">
        <v>-3.51</v>
      </c>
      <c r="K450" s="242">
        <v>0</v>
      </c>
    </row>
    <row r="451" spans="1:11" customFormat="1" hidden="1">
      <c r="A451">
        <v>4109</v>
      </c>
      <c r="B451" t="s">
        <v>1566</v>
      </c>
      <c r="C451" s="46">
        <v>57390</v>
      </c>
      <c r="D451" s="46">
        <v>71787</v>
      </c>
      <c r="E451" s="46">
        <v>65482</v>
      </c>
      <c r="F451">
        <v>-20.05</v>
      </c>
      <c r="G451">
        <v>-12.35</v>
      </c>
      <c r="H451" s="46">
        <v>606122</v>
      </c>
      <c r="I451" s="46">
        <v>506232</v>
      </c>
      <c r="J451">
        <v>19.73</v>
      </c>
      <c r="K451" s="242">
        <v>0</v>
      </c>
    </row>
    <row r="452" spans="1:11" customFormat="1" hidden="1">
      <c r="A452">
        <v>4107</v>
      </c>
      <c r="B452" t="s">
        <v>2131</v>
      </c>
      <c r="C452" s="46">
        <v>118313</v>
      </c>
      <c r="D452" s="46">
        <v>101351</v>
      </c>
      <c r="E452" s="46">
        <v>101297</v>
      </c>
      <c r="F452">
        <v>16.73</v>
      </c>
      <c r="G452">
        <v>16.79</v>
      </c>
      <c r="H452" s="46">
        <v>1037162</v>
      </c>
      <c r="I452" s="46">
        <v>922975</v>
      </c>
      <c r="J452">
        <v>12.37</v>
      </c>
      <c r="K452">
        <v>1</v>
      </c>
    </row>
    <row r="453" spans="1:11" customFormat="1" hidden="1">
      <c r="A453">
        <v>4105</v>
      </c>
      <c r="B453" t="s">
        <v>1950</v>
      </c>
      <c r="C453" s="46">
        <v>305741</v>
      </c>
      <c r="D453" s="46">
        <v>242486</v>
      </c>
      <c r="E453" s="46">
        <v>248369</v>
      </c>
      <c r="F453">
        <v>26.08</v>
      </c>
      <c r="G453">
        <v>23.09</v>
      </c>
      <c r="H453" s="46">
        <v>2575962</v>
      </c>
      <c r="I453" s="46">
        <v>2432959</v>
      </c>
      <c r="J453">
        <v>5.87</v>
      </c>
      <c r="K453">
        <v>1</v>
      </c>
    </row>
    <row r="454" spans="1:11" customFormat="1" hidden="1">
      <c r="A454">
        <v>4103</v>
      </c>
      <c r="B454" t="s">
        <v>1949</v>
      </c>
      <c r="C454" s="46">
        <v>835548</v>
      </c>
      <c r="D454" s="46">
        <v>811703</v>
      </c>
      <c r="E454" s="46">
        <v>818643</v>
      </c>
      <c r="F454">
        <v>2.93</v>
      </c>
      <c r="G454">
        <v>2.06</v>
      </c>
      <c r="H454" s="46">
        <v>5009765</v>
      </c>
      <c r="I454" s="46">
        <v>4758147</v>
      </c>
      <c r="J454">
        <v>5.28</v>
      </c>
      <c r="K454" s="242">
        <v>1</v>
      </c>
    </row>
    <row r="455" spans="1:11" customFormat="1" hidden="1">
      <c r="A455">
        <v>4102</v>
      </c>
      <c r="B455" t="s">
        <v>1948</v>
      </c>
      <c r="C455" s="46">
        <v>34166</v>
      </c>
      <c r="D455" s="46">
        <v>35544</v>
      </c>
      <c r="E455" s="46">
        <v>27178</v>
      </c>
      <c r="F455">
        <v>-3.87</v>
      </c>
      <c r="G455">
        <v>25.71</v>
      </c>
      <c r="H455" s="46">
        <v>266640</v>
      </c>
      <c r="I455" s="46">
        <v>230524</v>
      </c>
      <c r="J455">
        <v>15.66</v>
      </c>
      <c r="K455">
        <v>1</v>
      </c>
    </row>
    <row r="456" spans="1:11" customFormat="1">
      <c r="A456" s="62" t="str">
        <f>HYPERLINK("http://tw.stock.yahoo.com/q/ta?s=4965","4965")</f>
        <v>4965</v>
      </c>
      <c r="B456" s="62" t="str">
        <f>HYPERLINK("http://tw.stock.yahoo.com/d/s/earning_4965.html","商店街")</f>
        <v>商店街</v>
      </c>
      <c r="C456" s="46">
        <v>126874</v>
      </c>
      <c r="D456" s="46">
        <v>119767</v>
      </c>
      <c r="E456" s="46">
        <v>88728</v>
      </c>
      <c r="F456">
        <v>5.93</v>
      </c>
      <c r="G456">
        <v>42.99</v>
      </c>
      <c r="H456" s="46">
        <v>1098156</v>
      </c>
      <c r="I456" s="46">
        <v>799508</v>
      </c>
      <c r="J456">
        <v>37.35</v>
      </c>
      <c r="K456">
        <v>1</v>
      </c>
    </row>
    <row r="457" spans="1:11" customFormat="1" hidden="1">
      <c r="A457">
        <v>3693</v>
      </c>
      <c r="B457" t="s">
        <v>362</v>
      </c>
      <c r="C457" s="46">
        <v>361858</v>
      </c>
      <c r="D457" s="46">
        <v>298870</v>
      </c>
      <c r="E457" s="46">
        <v>225619</v>
      </c>
      <c r="F457">
        <v>21.07</v>
      </c>
      <c r="G457">
        <v>60.38</v>
      </c>
      <c r="H457" s="46">
        <v>4522731</v>
      </c>
      <c r="I457" s="46">
        <v>2987964</v>
      </c>
      <c r="J457">
        <v>51.36</v>
      </c>
      <c r="K457">
        <v>0</v>
      </c>
    </row>
    <row r="458" spans="1:11" customFormat="1" hidden="1">
      <c r="A458">
        <v>3691</v>
      </c>
      <c r="B458" t="s">
        <v>1561</v>
      </c>
      <c r="C458" s="46">
        <v>1607643</v>
      </c>
      <c r="D458" s="46">
        <v>1588666</v>
      </c>
      <c r="E458" s="46">
        <v>999099</v>
      </c>
      <c r="F458">
        <v>1.19</v>
      </c>
      <c r="G458">
        <v>60.9</v>
      </c>
      <c r="H458" s="46">
        <v>12481453</v>
      </c>
      <c r="I458" s="46">
        <v>7672545</v>
      </c>
      <c r="J458">
        <v>62.67</v>
      </c>
      <c r="K458">
        <v>1</v>
      </c>
    </row>
    <row r="459" spans="1:11" customFormat="1" hidden="1">
      <c r="A459">
        <v>3689</v>
      </c>
      <c r="B459" t="s">
        <v>2029</v>
      </c>
      <c r="C459" s="46">
        <v>390411</v>
      </c>
      <c r="D459" s="46">
        <v>441408</v>
      </c>
      <c r="E459" s="46">
        <v>402136</v>
      </c>
      <c r="F459">
        <v>-11.55</v>
      </c>
      <c r="G459">
        <v>-2.91</v>
      </c>
      <c r="H459" s="46">
        <v>3748547</v>
      </c>
      <c r="I459" s="46">
        <v>4348859</v>
      </c>
      <c r="J459">
        <v>-13.8</v>
      </c>
      <c r="K459">
        <v>0</v>
      </c>
    </row>
    <row r="460" spans="1:11" customFormat="1">
      <c r="A460" s="62" t="str">
        <f>HYPERLINK("http://tw.stock.yahoo.com/q/ta?s=1570","1570")</f>
        <v>1570</v>
      </c>
      <c r="B460" s="62" t="str">
        <f>HYPERLINK("http://tw.stock.yahoo.com/d/s/earning_1570.html","力肯實業")</f>
        <v>力肯實業</v>
      </c>
      <c r="C460" s="46">
        <v>68644</v>
      </c>
      <c r="D460" s="46">
        <v>53218</v>
      </c>
      <c r="E460" s="46">
        <v>23921</v>
      </c>
      <c r="F460">
        <v>28.98</v>
      </c>
      <c r="G460">
        <v>186.96</v>
      </c>
      <c r="H460" s="46">
        <v>618870</v>
      </c>
      <c r="I460" s="46">
        <v>453662</v>
      </c>
      <c r="J460">
        <v>36.409999999999997</v>
      </c>
      <c r="K460">
        <v>1</v>
      </c>
    </row>
    <row r="461" spans="1:11" customFormat="1" hidden="1">
      <c r="A461">
        <v>3685</v>
      </c>
      <c r="B461" t="s">
        <v>1559</v>
      </c>
      <c r="C461" s="46">
        <v>33738</v>
      </c>
      <c r="D461" s="46">
        <v>49945</v>
      </c>
      <c r="E461" s="46">
        <v>44271</v>
      </c>
      <c r="F461">
        <v>-32.44</v>
      </c>
      <c r="G461">
        <v>-23.79</v>
      </c>
      <c r="H461" s="46">
        <v>490140</v>
      </c>
      <c r="I461" s="46">
        <v>476302</v>
      </c>
      <c r="J461">
        <v>2.9</v>
      </c>
      <c r="K461">
        <v>0</v>
      </c>
    </row>
    <row r="462" spans="1:11" customFormat="1" hidden="1">
      <c r="A462">
        <v>3684</v>
      </c>
      <c r="B462" t="s">
        <v>1558</v>
      </c>
      <c r="C462" s="46">
        <v>61343</v>
      </c>
      <c r="D462" s="46">
        <v>63882</v>
      </c>
      <c r="E462" s="46">
        <v>42996</v>
      </c>
      <c r="F462">
        <v>-3.97</v>
      </c>
      <c r="G462">
        <v>42.67</v>
      </c>
      <c r="H462" s="46">
        <v>571507</v>
      </c>
      <c r="I462" s="46">
        <v>412523</v>
      </c>
      <c r="J462">
        <v>38.53</v>
      </c>
      <c r="K462">
        <v>1</v>
      </c>
    </row>
    <row r="463" spans="1:11" customFormat="1" hidden="1">
      <c r="A463">
        <v>3680</v>
      </c>
      <c r="B463" t="s">
        <v>2104</v>
      </c>
      <c r="C463" s="46">
        <v>177036</v>
      </c>
      <c r="D463" s="46">
        <v>172775</v>
      </c>
      <c r="E463" s="46">
        <v>152526</v>
      </c>
      <c r="F463">
        <v>2.46</v>
      </c>
      <c r="G463">
        <v>16.059999999999999</v>
      </c>
      <c r="H463" s="46">
        <v>1549283</v>
      </c>
      <c r="I463" s="46">
        <v>1515394</v>
      </c>
      <c r="J463">
        <v>2.23</v>
      </c>
      <c r="K463">
        <v>1</v>
      </c>
    </row>
    <row r="464" spans="1:11" customFormat="1" hidden="1">
      <c r="A464">
        <v>3675</v>
      </c>
      <c r="B464" t="s">
        <v>1973</v>
      </c>
      <c r="C464" s="46">
        <v>76526</v>
      </c>
      <c r="D464" s="46">
        <v>98584</v>
      </c>
      <c r="E464" s="46">
        <v>86948</v>
      </c>
      <c r="F464">
        <v>-22.37</v>
      </c>
      <c r="G464">
        <v>-11.98</v>
      </c>
      <c r="H464" s="46">
        <v>907346</v>
      </c>
      <c r="I464" s="46">
        <v>935712</v>
      </c>
      <c r="J464">
        <v>-3.03</v>
      </c>
      <c r="K464">
        <v>0</v>
      </c>
    </row>
    <row r="465" spans="1:11" customFormat="1" hidden="1">
      <c r="A465">
        <v>3672</v>
      </c>
      <c r="B465" t="s">
        <v>360</v>
      </c>
      <c r="C465" s="46">
        <v>71420</v>
      </c>
      <c r="D465" s="46">
        <v>73906</v>
      </c>
      <c r="E465" s="46">
        <v>52639</v>
      </c>
      <c r="F465">
        <v>-3.36</v>
      </c>
      <c r="G465">
        <v>35.67</v>
      </c>
      <c r="H465" s="46">
        <v>709440</v>
      </c>
      <c r="I465" s="46">
        <v>616035</v>
      </c>
      <c r="J465">
        <v>15.16</v>
      </c>
      <c r="K465">
        <v>0</v>
      </c>
    </row>
    <row r="466" spans="1:11" customFormat="1" hidden="1">
      <c r="A466">
        <v>3666</v>
      </c>
      <c r="B466" t="s">
        <v>359</v>
      </c>
      <c r="C466" s="46">
        <v>110286</v>
      </c>
      <c r="D466" s="46">
        <v>101575</v>
      </c>
      <c r="E466" s="46">
        <v>119842</v>
      </c>
      <c r="F466">
        <v>8.57</v>
      </c>
      <c r="G466">
        <v>-7.97</v>
      </c>
      <c r="H466" s="46">
        <v>903715</v>
      </c>
      <c r="I466" s="46">
        <v>1327925</v>
      </c>
      <c r="J466">
        <v>-31.94</v>
      </c>
      <c r="K466">
        <v>1</v>
      </c>
    </row>
    <row r="467" spans="1:11" customFormat="1" hidden="1">
      <c r="A467">
        <v>3663</v>
      </c>
      <c r="B467" t="s">
        <v>2230</v>
      </c>
      <c r="C467" s="46">
        <v>220955</v>
      </c>
      <c r="D467" s="46">
        <v>215941</v>
      </c>
      <c r="E467" s="46">
        <v>232977</v>
      </c>
      <c r="F467">
        <v>2.3199999999999998</v>
      </c>
      <c r="G467">
        <v>-5.16</v>
      </c>
      <c r="H467" s="46">
        <v>2260721</v>
      </c>
      <c r="I467" s="46">
        <v>2724936</v>
      </c>
      <c r="J467">
        <v>-17.03</v>
      </c>
      <c r="K467">
        <v>0</v>
      </c>
    </row>
    <row r="468" spans="1:11" customFormat="1" hidden="1">
      <c r="A468">
        <v>3662</v>
      </c>
      <c r="B468" t="s">
        <v>2253</v>
      </c>
      <c r="C468" s="46">
        <v>207064</v>
      </c>
      <c r="D468" s="46">
        <v>264685</v>
      </c>
      <c r="E468" s="46">
        <v>106296</v>
      </c>
      <c r="F468">
        <v>-21.76</v>
      </c>
      <c r="G468">
        <v>94.79</v>
      </c>
      <c r="H468" s="46">
        <v>1728675</v>
      </c>
      <c r="I468" s="46">
        <v>565455</v>
      </c>
      <c r="J468">
        <v>205.71</v>
      </c>
      <c r="K468" s="242">
        <v>1</v>
      </c>
    </row>
    <row r="469" spans="1:11" customFormat="1" hidden="1">
      <c r="A469">
        <v>3658</v>
      </c>
      <c r="B469" t="s">
        <v>358</v>
      </c>
      <c r="C469" s="46">
        <v>214876</v>
      </c>
      <c r="D469" s="46">
        <v>398512</v>
      </c>
      <c r="E469" s="46">
        <v>331013</v>
      </c>
      <c r="F469">
        <v>-46.08</v>
      </c>
      <c r="G469">
        <v>-35.08</v>
      </c>
      <c r="H469" s="46">
        <v>5141749</v>
      </c>
      <c r="I469" s="46">
        <v>4845251</v>
      </c>
      <c r="J469">
        <v>6.11</v>
      </c>
      <c r="K469">
        <v>0</v>
      </c>
    </row>
    <row r="470" spans="1:11" customFormat="1" hidden="1">
      <c r="A470">
        <v>3652</v>
      </c>
      <c r="B470" t="s">
        <v>357</v>
      </c>
      <c r="C470" s="46">
        <v>182081</v>
      </c>
      <c r="D470" s="46">
        <v>174720</v>
      </c>
      <c r="E470" s="46">
        <v>167743</v>
      </c>
      <c r="F470">
        <v>4.21</v>
      </c>
      <c r="G470">
        <v>8.5399999999999991</v>
      </c>
      <c r="H470" s="46">
        <v>1637688</v>
      </c>
      <c r="I470" s="46">
        <v>1566389</v>
      </c>
      <c r="J470">
        <v>4.55</v>
      </c>
      <c r="K470">
        <v>1</v>
      </c>
    </row>
    <row r="471" spans="1:11" customFormat="1" hidden="1">
      <c r="A471">
        <v>3646</v>
      </c>
      <c r="B471" t="s">
        <v>1552</v>
      </c>
      <c r="C471" s="46">
        <v>49263</v>
      </c>
      <c r="D471" s="46">
        <v>45190</v>
      </c>
      <c r="E471" s="46">
        <v>32370</v>
      </c>
      <c r="F471">
        <v>9.01</v>
      </c>
      <c r="G471">
        <v>52.18</v>
      </c>
      <c r="H471" s="46">
        <v>496478</v>
      </c>
      <c r="I471" s="46">
        <v>545415</v>
      </c>
      <c r="J471">
        <v>-8.9700000000000006</v>
      </c>
      <c r="K471" s="242">
        <v>0</v>
      </c>
    </row>
    <row r="472" spans="1:11" customFormat="1" hidden="1">
      <c r="A472">
        <v>3642</v>
      </c>
      <c r="B472" t="s">
        <v>2065</v>
      </c>
      <c r="C472" s="46">
        <v>57794</v>
      </c>
      <c r="D472" s="46">
        <v>81211</v>
      </c>
      <c r="E472" s="46">
        <v>71609</v>
      </c>
      <c r="F472">
        <v>-28.83</v>
      </c>
      <c r="G472">
        <v>-19.29</v>
      </c>
      <c r="H472" s="46">
        <v>666388</v>
      </c>
      <c r="I472" s="46">
        <v>636693</v>
      </c>
      <c r="J472">
        <v>4.66</v>
      </c>
      <c r="K472" s="242">
        <v>0</v>
      </c>
    </row>
    <row r="473" spans="1:11" customFormat="1" hidden="1">
      <c r="A473">
        <v>3632</v>
      </c>
      <c r="B473" t="s">
        <v>1550</v>
      </c>
      <c r="C473" s="46">
        <v>102334</v>
      </c>
      <c r="D473" s="46">
        <v>154741</v>
      </c>
      <c r="E473" s="46">
        <v>94141</v>
      </c>
      <c r="F473">
        <v>-33.86</v>
      </c>
      <c r="G473">
        <v>8.6999999999999993</v>
      </c>
      <c r="H473" s="46">
        <v>1194825</v>
      </c>
      <c r="I473" s="46">
        <v>736892</v>
      </c>
      <c r="J473">
        <v>62.14</v>
      </c>
      <c r="K473">
        <v>0</v>
      </c>
    </row>
    <row r="474" spans="1:11" customFormat="1" hidden="1">
      <c r="A474">
        <v>3631</v>
      </c>
      <c r="B474" t="s">
        <v>356</v>
      </c>
      <c r="C474" s="46">
        <v>45364</v>
      </c>
      <c r="D474" s="46">
        <v>48390</v>
      </c>
      <c r="E474" s="46">
        <v>63586</v>
      </c>
      <c r="F474">
        <v>-6.25</v>
      </c>
      <c r="G474">
        <v>-28.65</v>
      </c>
      <c r="H474" s="46">
        <v>553567</v>
      </c>
      <c r="I474" s="46">
        <v>921714</v>
      </c>
      <c r="J474">
        <v>-39.94</v>
      </c>
      <c r="K474">
        <v>0</v>
      </c>
    </row>
    <row r="475" spans="1:11" customFormat="1" hidden="1">
      <c r="A475">
        <v>3630</v>
      </c>
      <c r="B475" t="s">
        <v>355</v>
      </c>
      <c r="C475" s="46">
        <v>104675</v>
      </c>
      <c r="D475" s="46">
        <v>98940</v>
      </c>
      <c r="E475" s="46">
        <v>91852</v>
      </c>
      <c r="F475">
        <v>5.79</v>
      </c>
      <c r="G475">
        <v>13.96</v>
      </c>
      <c r="H475" s="46">
        <v>821480</v>
      </c>
      <c r="I475" s="46">
        <v>1488316</v>
      </c>
      <c r="J475">
        <v>-44.8</v>
      </c>
      <c r="K475">
        <v>1</v>
      </c>
    </row>
    <row r="476" spans="1:11" customFormat="1" hidden="1">
      <c r="A476">
        <v>3629</v>
      </c>
      <c r="B476" t="s">
        <v>2170</v>
      </c>
      <c r="C476" s="46">
        <v>4553</v>
      </c>
      <c r="D476" s="46">
        <v>7029</v>
      </c>
      <c r="E476" s="46">
        <v>16344</v>
      </c>
      <c r="F476">
        <v>-35.22</v>
      </c>
      <c r="G476">
        <v>-72.14</v>
      </c>
      <c r="H476" s="46">
        <v>84754</v>
      </c>
      <c r="I476" s="46">
        <v>161770</v>
      </c>
      <c r="J476">
        <v>-47.6</v>
      </c>
      <c r="K476">
        <v>0</v>
      </c>
    </row>
    <row r="477" spans="1:11" customFormat="1" hidden="1">
      <c r="A477">
        <v>3628</v>
      </c>
      <c r="B477" t="s">
        <v>2229</v>
      </c>
      <c r="C477" s="46">
        <v>203034</v>
      </c>
      <c r="D477" s="46">
        <v>195021</v>
      </c>
      <c r="E477" s="46">
        <v>204569</v>
      </c>
      <c r="F477">
        <v>4.0999999999999996</v>
      </c>
      <c r="G477">
        <v>-0.75</v>
      </c>
      <c r="H477" s="46">
        <v>2241028</v>
      </c>
      <c r="I477" s="46">
        <v>2280901</v>
      </c>
      <c r="J477">
        <v>-1.74</v>
      </c>
      <c r="K477">
        <v>0</v>
      </c>
    </row>
    <row r="478" spans="1:11" customFormat="1" hidden="1">
      <c r="A478">
        <v>3625</v>
      </c>
      <c r="B478" t="s">
        <v>354</v>
      </c>
      <c r="C478" s="46">
        <v>70153</v>
      </c>
      <c r="D478" s="46">
        <v>79323</v>
      </c>
      <c r="E478" s="46">
        <v>52140</v>
      </c>
      <c r="F478">
        <v>-11.56</v>
      </c>
      <c r="G478">
        <v>34.54</v>
      </c>
      <c r="H478" s="46">
        <v>599951</v>
      </c>
      <c r="I478" s="46">
        <v>526510</v>
      </c>
      <c r="J478">
        <v>13.94</v>
      </c>
      <c r="K478">
        <v>1</v>
      </c>
    </row>
    <row r="479" spans="1:11" customFormat="1" hidden="1">
      <c r="A479">
        <v>3624</v>
      </c>
      <c r="B479" t="s">
        <v>353</v>
      </c>
      <c r="C479" s="46">
        <v>137265</v>
      </c>
      <c r="D479" s="46">
        <v>137068</v>
      </c>
      <c r="E479" s="46">
        <v>119338</v>
      </c>
      <c r="F479">
        <v>0.14000000000000001</v>
      </c>
      <c r="G479">
        <v>15.02</v>
      </c>
      <c r="H479" s="46">
        <v>1304977</v>
      </c>
      <c r="I479" s="46">
        <v>1208641</v>
      </c>
      <c r="J479">
        <v>7.97</v>
      </c>
      <c r="K479">
        <v>1</v>
      </c>
    </row>
    <row r="480" spans="1:11" customFormat="1" hidden="1">
      <c r="A480">
        <v>3623</v>
      </c>
      <c r="B480" t="s">
        <v>352</v>
      </c>
      <c r="C480" s="46">
        <v>80147</v>
      </c>
      <c r="D480" s="46">
        <v>85087</v>
      </c>
      <c r="E480" s="46">
        <v>93694</v>
      </c>
      <c r="F480">
        <v>-5.8</v>
      </c>
      <c r="G480">
        <v>-14.45</v>
      </c>
      <c r="H480" s="46">
        <v>826905</v>
      </c>
      <c r="I480" s="46">
        <v>993347</v>
      </c>
      <c r="J480">
        <v>-16.75</v>
      </c>
      <c r="K480">
        <v>0</v>
      </c>
    </row>
    <row r="481" spans="1:11" customFormat="1" hidden="1">
      <c r="A481">
        <v>3615</v>
      </c>
      <c r="B481" t="s">
        <v>2169</v>
      </c>
      <c r="C481" s="46">
        <v>60868</v>
      </c>
      <c r="D481" s="46">
        <v>64370</v>
      </c>
      <c r="E481" s="46">
        <v>78299</v>
      </c>
      <c r="F481">
        <v>-5.44</v>
      </c>
      <c r="G481">
        <v>-22.26</v>
      </c>
      <c r="H481" s="46">
        <v>601830</v>
      </c>
      <c r="I481" s="46">
        <v>563873</v>
      </c>
      <c r="J481">
        <v>6.73</v>
      </c>
      <c r="K481">
        <v>0</v>
      </c>
    </row>
    <row r="482" spans="1:11" customFormat="1" hidden="1">
      <c r="A482">
        <v>3611</v>
      </c>
      <c r="B482" t="s">
        <v>351</v>
      </c>
      <c r="C482" s="46">
        <v>246217</v>
      </c>
      <c r="D482" s="46">
        <v>206724</v>
      </c>
      <c r="E482" s="46">
        <v>203679</v>
      </c>
      <c r="F482">
        <v>19.100000000000001</v>
      </c>
      <c r="G482">
        <v>20.88</v>
      </c>
      <c r="H482" s="46">
        <v>2225213</v>
      </c>
      <c r="I482" s="46">
        <v>2009315</v>
      </c>
      <c r="J482">
        <v>10.74</v>
      </c>
      <c r="K482">
        <v>1</v>
      </c>
    </row>
    <row r="483" spans="1:11" customFormat="1" hidden="1">
      <c r="A483">
        <v>3609</v>
      </c>
      <c r="B483" t="s">
        <v>350</v>
      </c>
      <c r="C483" s="46">
        <v>64404</v>
      </c>
      <c r="D483" s="46">
        <v>60076</v>
      </c>
      <c r="E483" s="46">
        <v>62788</v>
      </c>
      <c r="F483">
        <v>7.2</v>
      </c>
      <c r="G483">
        <v>2.57</v>
      </c>
      <c r="H483" s="46">
        <v>673534</v>
      </c>
      <c r="I483" s="46">
        <v>690572</v>
      </c>
      <c r="J483">
        <v>-2.46</v>
      </c>
      <c r="K483">
        <v>0</v>
      </c>
    </row>
    <row r="484" spans="1:11" customFormat="1" hidden="1">
      <c r="A484">
        <v>3594</v>
      </c>
      <c r="B484" t="s">
        <v>349</v>
      </c>
      <c r="C484" s="46">
        <v>93237</v>
      </c>
      <c r="D484" s="46">
        <v>120697</v>
      </c>
      <c r="E484" s="46">
        <v>103344</v>
      </c>
      <c r="F484">
        <v>-22.75</v>
      </c>
      <c r="G484">
        <v>-9.77</v>
      </c>
      <c r="H484" s="46">
        <v>1041963</v>
      </c>
      <c r="I484" s="46">
        <v>1129977</v>
      </c>
      <c r="J484">
        <v>-7.78</v>
      </c>
      <c r="K484">
        <v>0</v>
      </c>
    </row>
    <row r="485" spans="1:11" customFormat="1" hidden="1">
      <c r="A485">
        <v>3587</v>
      </c>
      <c r="B485" t="s">
        <v>2064</v>
      </c>
      <c r="C485" s="46">
        <v>90094</v>
      </c>
      <c r="D485" s="46">
        <v>113365</v>
      </c>
      <c r="E485" s="46">
        <v>90834</v>
      </c>
      <c r="F485">
        <v>-20.52</v>
      </c>
      <c r="G485">
        <v>-0.81</v>
      </c>
      <c r="H485" s="46">
        <v>880657</v>
      </c>
      <c r="I485" s="46">
        <v>877473</v>
      </c>
      <c r="J485">
        <v>0.36</v>
      </c>
      <c r="K485">
        <v>0</v>
      </c>
    </row>
    <row r="486" spans="1:11" customFormat="1" hidden="1">
      <c r="A486">
        <v>3581</v>
      </c>
      <c r="B486" t="s">
        <v>2144</v>
      </c>
      <c r="C486" s="46">
        <v>66520</v>
      </c>
      <c r="D486" s="46">
        <v>54168</v>
      </c>
      <c r="E486" s="46">
        <v>70334</v>
      </c>
      <c r="F486">
        <v>22.8</v>
      </c>
      <c r="G486">
        <v>-5.42</v>
      </c>
      <c r="H486" s="46">
        <v>704096</v>
      </c>
      <c r="I486" s="46">
        <v>710667</v>
      </c>
      <c r="J486">
        <v>-0.92</v>
      </c>
      <c r="K486" s="242">
        <v>0</v>
      </c>
    </row>
    <row r="487" spans="1:11" customFormat="1" hidden="1">
      <c r="A487">
        <v>3580</v>
      </c>
      <c r="B487" t="s">
        <v>2228</v>
      </c>
      <c r="C487" s="46">
        <v>35794</v>
      </c>
      <c r="D487" s="46">
        <v>48242</v>
      </c>
      <c r="E487" s="46">
        <v>43854</v>
      </c>
      <c r="F487">
        <v>-25.8</v>
      </c>
      <c r="G487">
        <v>-18.37</v>
      </c>
      <c r="H487" s="46">
        <v>384504</v>
      </c>
      <c r="I487" s="46">
        <v>409533</v>
      </c>
      <c r="J487">
        <v>-6.11</v>
      </c>
      <c r="K487" s="242">
        <v>0</v>
      </c>
    </row>
    <row r="488" spans="1:11" customFormat="1" hidden="1">
      <c r="A488">
        <v>3577</v>
      </c>
      <c r="B488" t="s">
        <v>1994</v>
      </c>
      <c r="C488" s="46">
        <v>68793</v>
      </c>
      <c r="D488" s="46">
        <v>61664</v>
      </c>
      <c r="E488" s="46">
        <v>58201</v>
      </c>
      <c r="F488">
        <v>11.56</v>
      </c>
      <c r="G488">
        <v>18.190000000000001</v>
      </c>
      <c r="H488" s="46">
        <v>604421</v>
      </c>
      <c r="I488" s="46">
        <v>635917</v>
      </c>
      <c r="J488">
        <v>-4.95</v>
      </c>
      <c r="K488">
        <v>1</v>
      </c>
    </row>
    <row r="489" spans="1:11" customFormat="1" hidden="1">
      <c r="A489">
        <v>3570</v>
      </c>
      <c r="B489" t="s">
        <v>2214</v>
      </c>
      <c r="C489" s="46">
        <v>98230</v>
      </c>
      <c r="D489" s="46">
        <v>82968</v>
      </c>
      <c r="E489" s="46">
        <v>86047</v>
      </c>
      <c r="F489">
        <v>18.39</v>
      </c>
      <c r="G489">
        <v>14.15</v>
      </c>
      <c r="H489" s="46">
        <v>829279</v>
      </c>
      <c r="I489" s="46">
        <v>720361</v>
      </c>
      <c r="J489">
        <v>15.11</v>
      </c>
      <c r="K489">
        <v>1</v>
      </c>
    </row>
    <row r="490" spans="1:11" customFormat="1" hidden="1">
      <c r="A490">
        <v>3567</v>
      </c>
      <c r="B490" t="s">
        <v>2143</v>
      </c>
      <c r="C490" s="46">
        <v>28111</v>
      </c>
      <c r="D490" s="46">
        <v>27145</v>
      </c>
      <c r="E490" s="46">
        <v>30295</v>
      </c>
      <c r="F490">
        <v>3.55</v>
      </c>
      <c r="G490">
        <v>-7.2</v>
      </c>
      <c r="H490" s="46">
        <v>276322</v>
      </c>
      <c r="I490" s="46">
        <v>324641</v>
      </c>
      <c r="J490">
        <v>-14.88</v>
      </c>
      <c r="K490">
        <v>0</v>
      </c>
    </row>
    <row r="491" spans="1:11" customFormat="1" hidden="1">
      <c r="A491">
        <v>3564</v>
      </c>
      <c r="B491" t="s">
        <v>1540</v>
      </c>
      <c r="C491" s="46">
        <v>109915</v>
      </c>
      <c r="D491" s="46">
        <v>111085</v>
      </c>
      <c r="E491" s="46">
        <v>72201</v>
      </c>
      <c r="F491">
        <v>-1.05</v>
      </c>
      <c r="G491">
        <v>52.23</v>
      </c>
      <c r="H491" s="46">
        <v>1111008</v>
      </c>
      <c r="I491" s="46">
        <v>733095</v>
      </c>
      <c r="J491">
        <v>51.55</v>
      </c>
      <c r="K491">
        <v>0</v>
      </c>
    </row>
    <row r="492" spans="1:11" customFormat="1" hidden="1">
      <c r="A492">
        <v>3563</v>
      </c>
      <c r="B492" t="s">
        <v>348</v>
      </c>
      <c r="C492" s="46">
        <v>40163</v>
      </c>
      <c r="D492" s="46">
        <v>46937</v>
      </c>
      <c r="E492" s="46">
        <v>42509</v>
      </c>
      <c r="F492">
        <v>-14.43</v>
      </c>
      <c r="G492">
        <v>-5.51</v>
      </c>
      <c r="H492" s="46">
        <v>526223</v>
      </c>
      <c r="I492" s="46">
        <v>568795</v>
      </c>
      <c r="J492">
        <v>-7.48</v>
      </c>
      <c r="K492">
        <v>0</v>
      </c>
    </row>
    <row r="493" spans="1:11" customFormat="1" hidden="1">
      <c r="A493">
        <v>3562</v>
      </c>
      <c r="B493" t="s">
        <v>347</v>
      </c>
      <c r="C493" s="46">
        <v>81334</v>
      </c>
      <c r="D493" s="46">
        <v>97694</v>
      </c>
      <c r="E493" s="46">
        <v>101860</v>
      </c>
      <c r="F493">
        <v>-16.739999999999998</v>
      </c>
      <c r="G493">
        <v>-20.149999999999999</v>
      </c>
      <c r="H493" s="46">
        <v>816063</v>
      </c>
      <c r="I493" s="46">
        <v>1834596</v>
      </c>
      <c r="J493">
        <v>-55.51</v>
      </c>
      <c r="K493">
        <v>0</v>
      </c>
    </row>
    <row r="494" spans="1:11" customFormat="1" hidden="1">
      <c r="A494">
        <v>3558</v>
      </c>
      <c r="B494" t="s">
        <v>346</v>
      </c>
      <c r="C494" s="46">
        <v>631801</v>
      </c>
      <c r="D494" s="46">
        <v>702221</v>
      </c>
      <c r="E494" s="46">
        <v>520222</v>
      </c>
      <c r="F494">
        <v>-10.02</v>
      </c>
      <c r="G494">
        <v>21.44</v>
      </c>
      <c r="H494" s="46">
        <v>6438596</v>
      </c>
      <c r="I494" s="46">
        <v>5030501</v>
      </c>
      <c r="J494">
        <v>27.99</v>
      </c>
      <c r="K494">
        <v>0</v>
      </c>
    </row>
    <row r="495" spans="1:11" customFormat="1" hidden="1">
      <c r="A495">
        <v>3556</v>
      </c>
      <c r="B495" t="s">
        <v>345</v>
      </c>
      <c r="C495" s="46">
        <v>88356</v>
      </c>
      <c r="D495" s="46">
        <v>65508</v>
      </c>
      <c r="E495" s="46">
        <v>74942</v>
      </c>
      <c r="F495">
        <v>34.869999999999997</v>
      </c>
      <c r="G495">
        <v>17.89</v>
      </c>
      <c r="H495" s="46">
        <v>822573</v>
      </c>
      <c r="I495" s="46">
        <v>857005</v>
      </c>
      <c r="J495">
        <v>-4.01</v>
      </c>
      <c r="K495">
        <v>1</v>
      </c>
    </row>
    <row r="496" spans="1:11" customFormat="1" hidden="1">
      <c r="A496">
        <v>3555</v>
      </c>
      <c r="B496" t="s">
        <v>1972</v>
      </c>
      <c r="C496" s="46">
        <v>21828</v>
      </c>
      <c r="D496" s="46">
        <v>36290</v>
      </c>
      <c r="E496" s="46">
        <v>25537</v>
      </c>
      <c r="F496">
        <v>-39.85</v>
      </c>
      <c r="G496" s="233">
        <v>-14.52</v>
      </c>
      <c r="H496" s="46">
        <v>297237</v>
      </c>
      <c r="I496" s="46">
        <v>311173</v>
      </c>
      <c r="J496">
        <v>-4.47</v>
      </c>
      <c r="K496" s="242">
        <v>0</v>
      </c>
    </row>
    <row r="497" spans="1:11" customFormat="1" hidden="1">
      <c r="A497">
        <v>3553</v>
      </c>
      <c r="B497" t="s">
        <v>344</v>
      </c>
      <c r="C497" s="46">
        <v>203135</v>
      </c>
      <c r="D497" s="46">
        <v>190649</v>
      </c>
      <c r="E497" s="46">
        <v>232249</v>
      </c>
      <c r="F497">
        <v>6.54</v>
      </c>
      <c r="G497">
        <v>-12.53</v>
      </c>
      <c r="H497" s="46">
        <v>2095524</v>
      </c>
      <c r="I497" s="46">
        <v>2140459</v>
      </c>
      <c r="J497">
        <v>-2.09</v>
      </c>
      <c r="K497">
        <v>0</v>
      </c>
    </row>
    <row r="498" spans="1:11" customFormat="1">
      <c r="A498" s="62" t="str">
        <f>HYPERLINK("http://tw.stock.yahoo.com/q/ta?s=4739","4739")</f>
        <v>4739</v>
      </c>
      <c r="B498" s="62" t="str">
        <f>HYPERLINK("http://tw.stock.yahoo.com/d/s/earning_4739.html","康普材料")</f>
        <v>康普材料</v>
      </c>
      <c r="C498" s="46">
        <v>358894</v>
      </c>
      <c r="D498" s="46">
        <v>330605</v>
      </c>
      <c r="E498" s="46">
        <v>277259</v>
      </c>
      <c r="F498">
        <v>8.5500000000000007</v>
      </c>
      <c r="G498">
        <v>29.44</v>
      </c>
      <c r="H498" s="46">
        <v>3250561</v>
      </c>
      <c r="I498" s="46">
        <v>2430413</v>
      </c>
      <c r="J498">
        <v>33.74</v>
      </c>
      <c r="K498">
        <v>1</v>
      </c>
    </row>
    <row r="499" spans="1:11" customFormat="1" hidden="1">
      <c r="A499">
        <v>3551</v>
      </c>
      <c r="B499" t="s">
        <v>343</v>
      </c>
      <c r="C499" s="46">
        <v>103024</v>
      </c>
      <c r="D499" s="46">
        <v>104792</v>
      </c>
      <c r="E499" s="46">
        <v>131204</v>
      </c>
      <c r="F499">
        <v>-1.68</v>
      </c>
      <c r="G499">
        <v>-21.47</v>
      </c>
      <c r="H499" s="46">
        <v>1147524</v>
      </c>
      <c r="I499" s="46">
        <v>1281923</v>
      </c>
      <c r="J499">
        <v>-10.48</v>
      </c>
      <c r="K499">
        <v>0</v>
      </c>
    </row>
    <row r="500" spans="1:11" customFormat="1" hidden="1">
      <c r="A500">
        <v>3548</v>
      </c>
      <c r="B500" t="s">
        <v>342</v>
      </c>
      <c r="C500" s="46">
        <v>417577</v>
      </c>
      <c r="D500" s="46">
        <v>383533</v>
      </c>
      <c r="E500" s="46">
        <v>357228</v>
      </c>
      <c r="F500">
        <v>8.8699999999999992</v>
      </c>
      <c r="G500">
        <v>16.89</v>
      </c>
      <c r="H500" s="46">
        <v>3077819</v>
      </c>
      <c r="I500" s="46">
        <v>3104292</v>
      </c>
      <c r="J500">
        <v>-0.85</v>
      </c>
      <c r="K500" s="242">
        <v>1</v>
      </c>
    </row>
    <row r="501" spans="1:11" customFormat="1" hidden="1">
      <c r="A501">
        <v>3546</v>
      </c>
      <c r="B501" t="s">
        <v>2095</v>
      </c>
      <c r="C501" s="46">
        <v>61465</v>
      </c>
      <c r="D501" s="46">
        <v>49028</v>
      </c>
      <c r="E501" s="46">
        <v>54991</v>
      </c>
      <c r="F501">
        <v>25.36</v>
      </c>
      <c r="G501">
        <v>11.77</v>
      </c>
      <c r="H501" s="46">
        <v>521156</v>
      </c>
      <c r="I501" s="46">
        <v>603583</v>
      </c>
      <c r="J501">
        <v>-13.65</v>
      </c>
      <c r="K501">
        <v>1</v>
      </c>
    </row>
    <row r="502" spans="1:11" customFormat="1" hidden="1">
      <c r="A502">
        <v>3541</v>
      </c>
      <c r="B502" t="s">
        <v>2063</v>
      </c>
      <c r="C502" s="46">
        <v>128283</v>
      </c>
      <c r="D502" s="46">
        <v>140313</v>
      </c>
      <c r="E502" s="46">
        <v>141226</v>
      </c>
      <c r="F502">
        <v>-8.57</v>
      </c>
      <c r="G502">
        <v>-9.16</v>
      </c>
      <c r="H502" s="46">
        <v>1132760</v>
      </c>
      <c r="I502" s="46">
        <v>1342052</v>
      </c>
      <c r="J502">
        <v>-15.59</v>
      </c>
      <c r="K502" s="242">
        <v>1</v>
      </c>
    </row>
    <row r="503" spans="1:11" customFormat="1" hidden="1">
      <c r="A503">
        <v>3540</v>
      </c>
      <c r="B503" t="s">
        <v>2151</v>
      </c>
      <c r="C503" s="46">
        <v>248997</v>
      </c>
      <c r="D503" s="46">
        <v>238686</v>
      </c>
      <c r="E503" s="46">
        <v>214470</v>
      </c>
      <c r="F503">
        <v>4.3099999999999996</v>
      </c>
      <c r="G503">
        <v>16.09</v>
      </c>
      <c r="H503" s="46">
        <v>2209396</v>
      </c>
      <c r="I503" s="46">
        <v>2604863</v>
      </c>
      <c r="J503">
        <v>-15.18</v>
      </c>
      <c r="K503">
        <v>1</v>
      </c>
    </row>
    <row r="504" spans="1:11" customFormat="1" hidden="1">
      <c r="A504">
        <v>3537</v>
      </c>
      <c r="B504" t="s">
        <v>341</v>
      </c>
      <c r="C504" s="46">
        <v>182176</v>
      </c>
      <c r="D504" s="46">
        <v>155754</v>
      </c>
      <c r="E504" s="46">
        <v>177912</v>
      </c>
      <c r="F504">
        <v>16.96</v>
      </c>
      <c r="G504">
        <v>2.39</v>
      </c>
      <c r="H504" s="46">
        <v>1631375</v>
      </c>
      <c r="I504" s="46">
        <v>1923204</v>
      </c>
      <c r="J504">
        <v>-15.17</v>
      </c>
      <c r="K504" s="242">
        <v>1</v>
      </c>
    </row>
    <row r="505" spans="1:11" customFormat="1" hidden="1">
      <c r="A505">
        <v>3531</v>
      </c>
      <c r="B505" t="s">
        <v>2001</v>
      </c>
      <c r="C505" s="46">
        <v>143329</v>
      </c>
      <c r="D505" s="46">
        <v>144120</v>
      </c>
      <c r="E505" s="46">
        <v>145346</v>
      </c>
      <c r="F505">
        <v>-0.54</v>
      </c>
      <c r="G505">
        <v>-1.38</v>
      </c>
      <c r="H505" s="46">
        <v>1472520</v>
      </c>
      <c r="I505" s="46">
        <v>1661493</v>
      </c>
      <c r="J505">
        <v>-11.37</v>
      </c>
      <c r="K505">
        <v>0</v>
      </c>
    </row>
    <row r="506" spans="1:11" customFormat="1" hidden="1">
      <c r="A506">
        <v>3529</v>
      </c>
      <c r="B506" t="s">
        <v>340</v>
      </c>
      <c r="C506" s="46">
        <v>225341</v>
      </c>
      <c r="D506" s="46">
        <v>13300</v>
      </c>
      <c r="E506" s="46">
        <v>197330</v>
      </c>
      <c r="F506" s="233">
        <v>1594.29</v>
      </c>
      <c r="G506">
        <v>14.19</v>
      </c>
      <c r="H506" s="46">
        <v>1016083</v>
      </c>
      <c r="I506" s="46">
        <v>943148</v>
      </c>
      <c r="J506">
        <v>7.73</v>
      </c>
      <c r="K506">
        <v>1</v>
      </c>
    </row>
    <row r="507" spans="1:11" customFormat="1" hidden="1">
      <c r="A507">
        <v>3528</v>
      </c>
      <c r="B507" t="s">
        <v>2210</v>
      </c>
      <c r="C507" s="46">
        <v>274785</v>
      </c>
      <c r="D507" s="46">
        <v>265816</v>
      </c>
      <c r="E507" s="46">
        <v>278561</v>
      </c>
      <c r="F507">
        <v>3.37</v>
      </c>
      <c r="G507">
        <v>-1.35</v>
      </c>
      <c r="H507" s="46">
        <v>2786395</v>
      </c>
      <c r="I507" s="46">
        <v>2718236</v>
      </c>
      <c r="J507">
        <v>2.5</v>
      </c>
      <c r="K507">
        <v>0</v>
      </c>
    </row>
    <row r="508" spans="1:11" customFormat="1" hidden="1">
      <c r="A508">
        <v>3527</v>
      </c>
      <c r="B508" t="s">
        <v>339</v>
      </c>
      <c r="C508" s="46">
        <v>156696</v>
      </c>
      <c r="D508" s="46">
        <v>190833</v>
      </c>
      <c r="E508" s="46">
        <v>175028</v>
      </c>
      <c r="F508">
        <v>-17.88</v>
      </c>
      <c r="G508">
        <v>-10.47</v>
      </c>
      <c r="H508" s="46">
        <v>1663682</v>
      </c>
      <c r="I508" s="46">
        <v>1737174</v>
      </c>
      <c r="J508">
        <v>-4.2300000000000004</v>
      </c>
      <c r="K508">
        <v>0</v>
      </c>
    </row>
    <row r="509" spans="1:11" customFormat="1" hidden="1">
      <c r="A509">
        <v>3526</v>
      </c>
      <c r="B509" t="s">
        <v>2028</v>
      </c>
      <c r="C509" s="46">
        <v>147623</v>
      </c>
      <c r="D509" s="46">
        <v>181316</v>
      </c>
      <c r="E509" s="46">
        <v>143620</v>
      </c>
      <c r="F509">
        <v>-18.579999999999998</v>
      </c>
      <c r="G509">
        <v>2.78</v>
      </c>
      <c r="H509" s="46">
        <v>1386027</v>
      </c>
      <c r="I509" s="46">
        <v>1403241</v>
      </c>
      <c r="J509">
        <v>-1.22</v>
      </c>
      <c r="K509">
        <v>1</v>
      </c>
    </row>
    <row r="510" spans="1:11" customFormat="1" hidden="1">
      <c r="A510">
        <v>3523</v>
      </c>
      <c r="B510" t="s">
        <v>2168</v>
      </c>
      <c r="C510" s="46">
        <v>73191</v>
      </c>
      <c r="D510" s="46">
        <v>56472</v>
      </c>
      <c r="E510" s="46">
        <v>111468</v>
      </c>
      <c r="F510">
        <v>29.6</v>
      </c>
      <c r="G510">
        <v>-34.33</v>
      </c>
      <c r="H510" s="46">
        <v>798543</v>
      </c>
      <c r="I510" s="46">
        <v>1274432</v>
      </c>
      <c r="J510">
        <v>-37.340000000000003</v>
      </c>
      <c r="K510">
        <v>0</v>
      </c>
    </row>
    <row r="511" spans="1:11" customFormat="1" hidden="1">
      <c r="A511">
        <v>3522</v>
      </c>
      <c r="B511" t="s">
        <v>338</v>
      </c>
      <c r="C511" s="46">
        <v>110721</v>
      </c>
      <c r="D511" s="46">
        <v>153649</v>
      </c>
      <c r="E511" s="46">
        <v>169104</v>
      </c>
      <c r="F511">
        <v>-27.93</v>
      </c>
      <c r="G511">
        <v>-34.520000000000003</v>
      </c>
      <c r="H511" s="46">
        <v>1318062</v>
      </c>
      <c r="I511" s="46">
        <v>1917634</v>
      </c>
      <c r="J511">
        <v>-31.26</v>
      </c>
      <c r="K511">
        <v>0</v>
      </c>
    </row>
    <row r="512" spans="1:11" customFormat="1">
      <c r="A512" s="62" t="str">
        <f>HYPERLINK("http://tw.stock.yahoo.com/q/ta?s=4180","4180")</f>
        <v>4180</v>
      </c>
      <c r="B512" s="62" t="str">
        <f>HYPERLINK("http://tw.stock.yahoo.com/d/s/earning_4180.html","安成藥業")</f>
        <v>安成藥業</v>
      </c>
      <c r="C512" s="46">
        <v>63540</v>
      </c>
      <c r="D512" s="46">
        <v>47873</v>
      </c>
      <c r="E512" s="46">
        <v>15545</v>
      </c>
      <c r="F512">
        <v>32.72</v>
      </c>
      <c r="G512">
        <v>308.74</v>
      </c>
      <c r="H512" s="46">
        <v>361791</v>
      </c>
      <c r="I512" s="46">
        <v>273991</v>
      </c>
      <c r="J512">
        <v>32.04</v>
      </c>
      <c r="K512">
        <v>1</v>
      </c>
    </row>
    <row r="513" spans="1:11" customFormat="1" hidden="1">
      <c r="A513">
        <v>3520</v>
      </c>
      <c r="B513" t="s">
        <v>2027</v>
      </c>
      <c r="C513" s="46">
        <v>46959</v>
      </c>
      <c r="D513" s="46">
        <v>49682</v>
      </c>
      <c r="E513" s="46">
        <v>64054</v>
      </c>
      <c r="F513">
        <v>-5.48</v>
      </c>
      <c r="G513">
        <v>-26.68</v>
      </c>
      <c r="H513" s="46">
        <v>441914</v>
      </c>
      <c r="I513" s="46">
        <v>719120</v>
      </c>
      <c r="J513">
        <v>-38.54</v>
      </c>
      <c r="K513">
        <v>1</v>
      </c>
    </row>
    <row r="514" spans="1:11" customFormat="1" hidden="1">
      <c r="A514">
        <v>3516</v>
      </c>
      <c r="B514" t="s">
        <v>337</v>
      </c>
      <c r="C514" s="46">
        <v>64399</v>
      </c>
      <c r="D514" s="46">
        <v>67511</v>
      </c>
      <c r="E514" s="46">
        <v>51546</v>
      </c>
      <c r="F514">
        <v>-4.5999999999999996</v>
      </c>
      <c r="G514">
        <v>24.93</v>
      </c>
      <c r="H514" s="46">
        <v>608080</v>
      </c>
      <c r="I514" s="46">
        <v>645432</v>
      </c>
      <c r="J514">
        <v>-5.78</v>
      </c>
      <c r="K514">
        <v>1</v>
      </c>
    </row>
    <row r="515" spans="1:11" customFormat="1" hidden="1">
      <c r="A515">
        <v>3512</v>
      </c>
      <c r="B515" t="s">
        <v>1528</v>
      </c>
      <c r="C515" s="46">
        <v>105248</v>
      </c>
      <c r="D515" s="46">
        <v>137636</v>
      </c>
      <c r="E515" s="46">
        <v>54133</v>
      </c>
      <c r="F515">
        <v>-23.53</v>
      </c>
      <c r="G515">
        <v>94.42</v>
      </c>
      <c r="H515" s="46">
        <v>679651</v>
      </c>
      <c r="I515" s="46">
        <v>498056</v>
      </c>
      <c r="J515">
        <v>36.46</v>
      </c>
      <c r="K515">
        <v>1</v>
      </c>
    </row>
    <row r="516" spans="1:11" customFormat="1" hidden="1">
      <c r="A516">
        <v>3511</v>
      </c>
      <c r="B516" t="s">
        <v>2026</v>
      </c>
      <c r="C516" s="46">
        <v>90452</v>
      </c>
      <c r="D516" s="46">
        <v>116186</v>
      </c>
      <c r="E516" s="46">
        <v>96672</v>
      </c>
      <c r="F516">
        <v>-22.14</v>
      </c>
      <c r="G516">
        <v>-6.43</v>
      </c>
      <c r="H516" s="46">
        <v>998050</v>
      </c>
      <c r="I516" s="46">
        <v>631618</v>
      </c>
      <c r="J516">
        <v>58.01</v>
      </c>
      <c r="K516">
        <v>0</v>
      </c>
    </row>
    <row r="517" spans="1:11" customFormat="1" hidden="1">
      <c r="A517">
        <v>3508</v>
      </c>
      <c r="B517" t="s">
        <v>336</v>
      </c>
      <c r="C517" s="46">
        <v>210622</v>
      </c>
      <c r="D517" s="46">
        <v>295568</v>
      </c>
      <c r="E517" s="46">
        <v>360871</v>
      </c>
      <c r="F517">
        <v>-28.73</v>
      </c>
      <c r="G517">
        <v>-41.63</v>
      </c>
      <c r="H517" s="46">
        <v>2702283</v>
      </c>
      <c r="I517" s="46">
        <v>2958487</v>
      </c>
      <c r="J517">
        <v>-8.65</v>
      </c>
      <c r="K517" s="242">
        <v>0</v>
      </c>
    </row>
    <row r="518" spans="1:11" customFormat="1" hidden="1">
      <c r="A518">
        <v>3499</v>
      </c>
      <c r="B518" t="s">
        <v>335</v>
      </c>
      <c r="C518" s="46">
        <v>67668</v>
      </c>
      <c r="D518" s="46">
        <v>66336</v>
      </c>
      <c r="E518" s="46">
        <v>46114</v>
      </c>
      <c r="F518">
        <v>2</v>
      </c>
      <c r="G518">
        <v>46.74</v>
      </c>
      <c r="H518" s="46">
        <v>542166</v>
      </c>
      <c r="I518" s="46">
        <v>363081</v>
      </c>
      <c r="J518">
        <v>49.32</v>
      </c>
      <c r="K518">
        <v>1</v>
      </c>
    </row>
    <row r="519" spans="1:11" customFormat="1" hidden="1">
      <c r="A519">
        <v>3498</v>
      </c>
      <c r="B519" t="s">
        <v>2227</v>
      </c>
      <c r="C519" s="46">
        <v>326548</v>
      </c>
      <c r="D519" s="46">
        <v>350354</v>
      </c>
      <c r="E519" s="46">
        <v>339654</v>
      </c>
      <c r="F519">
        <v>-6.79</v>
      </c>
      <c r="G519">
        <v>-3.85</v>
      </c>
      <c r="H519" s="46">
        <v>2563593</v>
      </c>
      <c r="I519" s="46">
        <v>1927128</v>
      </c>
      <c r="J519">
        <v>33.020000000000003</v>
      </c>
      <c r="K519" s="242">
        <v>1</v>
      </c>
    </row>
    <row r="520" spans="1:11" customFormat="1" hidden="1">
      <c r="A520">
        <v>3492</v>
      </c>
      <c r="B520" t="s">
        <v>2192</v>
      </c>
      <c r="C520" s="46">
        <v>121362</v>
      </c>
      <c r="D520" s="46">
        <v>83941</v>
      </c>
      <c r="E520" s="46">
        <v>92862</v>
      </c>
      <c r="F520">
        <v>44.58</v>
      </c>
      <c r="G520">
        <v>30.69</v>
      </c>
      <c r="H520" s="46">
        <v>950995</v>
      </c>
      <c r="I520" s="46">
        <v>827060</v>
      </c>
      <c r="J520">
        <v>14.98</v>
      </c>
      <c r="K520">
        <v>1</v>
      </c>
    </row>
    <row r="521" spans="1:11" customFormat="1" hidden="1">
      <c r="A521">
        <v>3491</v>
      </c>
      <c r="B521" t="s">
        <v>2179</v>
      </c>
      <c r="C521" s="46">
        <v>130086</v>
      </c>
      <c r="D521" s="46">
        <v>137447</v>
      </c>
      <c r="E521" s="46">
        <v>111089</v>
      </c>
      <c r="F521">
        <v>-5.35</v>
      </c>
      <c r="G521">
        <v>17.100000000000001</v>
      </c>
      <c r="H521" s="46">
        <v>1183787</v>
      </c>
      <c r="I521" s="46">
        <v>1048789</v>
      </c>
      <c r="J521">
        <v>12.87</v>
      </c>
      <c r="K521">
        <v>1</v>
      </c>
    </row>
    <row r="522" spans="1:11" customFormat="1" hidden="1">
      <c r="A522">
        <v>3490</v>
      </c>
      <c r="B522" t="s">
        <v>334</v>
      </c>
      <c r="C522" s="46">
        <v>163722</v>
      </c>
      <c r="D522" s="46">
        <v>142307</v>
      </c>
      <c r="E522" s="46">
        <v>289820</v>
      </c>
      <c r="F522">
        <v>15.04</v>
      </c>
      <c r="G522">
        <v>-43.5</v>
      </c>
      <c r="H522" s="46">
        <v>2025371</v>
      </c>
      <c r="I522" s="46">
        <v>1465116</v>
      </c>
      <c r="J522">
        <v>38.229999999999997</v>
      </c>
      <c r="K522">
        <v>0</v>
      </c>
    </row>
    <row r="523" spans="1:11" customFormat="1" hidden="1">
      <c r="A523">
        <v>3489</v>
      </c>
      <c r="B523" t="s">
        <v>333</v>
      </c>
      <c r="C523" s="46">
        <v>92575</v>
      </c>
      <c r="D523" s="46">
        <v>110191</v>
      </c>
      <c r="E523" s="46">
        <v>43725</v>
      </c>
      <c r="F523">
        <v>-15.98</v>
      </c>
      <c r="G523">
        <v>111.72</v>
      </c>
      <c r="H523" s="46">
        <v>619188</v>
      </c>
      <c r="I523" s="46">
        <v>628327</v>
      </c>
      <c r="J523">
        <v>-1.45</v>
      </c>
      <c r="K523" s="242">
        <v>1</v>
      </c>
    </row>
    <row r="524" spans="1:11" customFormat="1" hidden="1">
      <c r="A524">
        <v>3484</v>
      </c>
      <c r="B524" t="s">
        <v>332</v>
      </c>
      <c r="C524" s="46">
        <v>279745</v>
      </c>
      <c r="D524" s="46">
        <v>280309</v>
      </c>
      <c r="E524" s="46">
        <v>287765</v>
      </c>
      <c r="F524">
        <v>-0.2</v>
      </c>
      <c r="G524">
        <v>-2.78</v>
      </c>
      <c r="H524" s="46">
        <v>2704570</v>
      </c>
      <c r="I524" s="46">
        <v>2627393</v>
      </c>
      <c r="J524">
        <v>2.93</v>
      </c>
      <c r="K524" s="242">
        <v>0</v>
      </c>
    </row>
    <row r="525" spans="1:11" customFormat="1" hidden="1">
      <c r="A525">
        <v>3483</v>
      </c>
      <c r="B525" t="s">
        <v>331</v>
      </c>
      <c r="C525" s="46">
        <v>276116</v>
      </c>
      <c r="D525" s="46">
        <v>315998</v>
      </c>
      <c r="E525" s="46">
        <v>238987</v>
      </c>
      <c r="F525">
        <v>-12.62</v>
      </c>
      <c r="G525">
        <v>15.53</v>
      </c>
      <c r="H525" s="46">
        <v>2158443</v>
      </c>
      <c r="I525" s="46">
        <v>2457813</v>
      </c>
      <c r="J525">
        <v>-12.18</v>
      </c>
      <c r="K525">
        <v>1</v>
      </c>
    </row>
    <row r="526" spans="1:11" customFormat="1" hidden="1">
      <c r="A526">
        <v>3479</v>
      </c>
      <c r="B526" t="s">
        <v>2150</v>
      </c>
      <c r="C526" s="46">
        <v>430053</v>
      </c>
      <c r="D526" s="46">
        <v>461833</v>
      </c>
      <c r="E526" s="46">
        <v>351784</v>
      </c>
      <c r="F526">
        <v>-6.88</v>
      </c>
      <c r="G526">
        <v>22.24</v>
      </c>
      <c r="H526" s="46">
        <v>3519560</v>
      </c>
      <c r="I526" s="46">
        <v>3025642</v>
      </c>
      <c r="J526">
        <v>16.32</v>
      </c>
      <c r="K526">
        <v>1</v>
      </c>
    </row>
    <row r="527" spans="1:11" customFormat="1" hidden="1">
      <c r="A527">
        <v>3466</v>
      </c>
      <c r="B527" t="s">
        <v>330</v>
      </c>
      <c r="C527" s="46">
        <v>80996</v>
      </c>
      <c r="D527" s="46">
        <v>119978</v>
      </c>
      <c r="E527" s="46">
        <v>69779</v>
      </c>
      <c r="F527">
        <v>-32.49</v>
      </c>
      <c r="G527">
        <v>16.07</v>
      </c>
      <c r="H527" s="46">
        <v>1302861</v>
      </c>
      <c r="I527" s="46">
        <v>1919927</v>
      </c>
      <c r="J527">
        <v>-32.14</v>
      </c>
      <c r="K527">
        <v>0</v>
      </c>
    </row>
    <row r="528" spans="1:11" customFormat="1" hidden="1">
      <c r="A528">
        <v>3465</v>
      </c>
      <c r="B528" t="s">
        <v>2106</v>
      </c>
      <c r="C528" s="46">
        <v>18588</v>
      </c>
      <c r="D528" s="46">
        <v>7070</v>
      </c>
      <c r="E528" s="46">
        <v>40256</v>
      </c>
      <c r="F528">
        <v>162.91</v>
      </c>
      <c r="G528">
        <v>-53.82</v>
      </c>
      <c r="H528" s="46">
        <v>154086</v>
      </c>
      <c r="I528" s="46">
        <v>368091</v>
      </c>
      <c r="J528">
        <v>-58.13</v>
      </c>
      <c r="K528" s="242">
        <v>1</v>
      </c>
    </row>
    <row r="529" spans="1:11" customFormat="1" hidden="1">
      <c r="A529">
        <v>3455</v>
      </c>
      <c r="B529" t="s">
        <v>329</v>
      </c>
      <c r="C529" s="46">
        <v>115753</v>
      </c>
      <c r="D529" s="46">
        <v>91024</v>
      </c>
      <c r="E529" s="46">
        <v>240227</v>
      </c>
      <c r="F529">
        <v>27.16</v>
      </c>
      <c r="G529">
        <v>-51.81</v>
      </c>
      <c r="H529" s="46">
        <v>947374</v>
      </c>
      <c r="I529" s="46">
        <v>1130341</v>
      </c>
      <c r="J529">
        <v>-16.18</v>
      </c>
      <c r="K529">
        <v>1</v>
      </c>
    </row>
    <row r="530" spans="1:11" customFormat="1" hidden="1">
      <c r="A530">
        <v>3452</v>
      </c>
      <c r="B530" t="s">
        <v>2000</v>
      </c>
      <c r="C530" s="46">
        <v>422166</v>
      </c>
      <c r="D530" s="46">
        <v>431166</v>
      </c>
      <c r="E530" s="46">
        <v>272302</v>
      </c>
      <c r="F530">
        <v>-2.08</v>
      </c>
      <c r="G530">
        <v>55.03</v>
      </c>
      <c r="H530" s="46">
        <v>3488891</v>
      </c>
      <c r="I530" s="46">
        <v>3795052</v>
      </c>
      <c r="J530">
        <v>-8.06</v>
      </c>
      <c r="K530">
        <v>1</v>
      </c>
    </row>
    <row r="531" spans="1:11" customFormat="1" hidden="1">
      <c r="A531">
        <v>3444</v>
      </c>
      <c r="B531" t="s">
        <v>2209</v>
      </c>
      <c r="C531" s="46">
        <v>77857</v>
      </c>
      <c r="D531" s="46">
        <v>74674</v>
      </c>
      <c r="E531" s="46">
        <v>88773</v>
      </c>
      <c r="F531">
        <v>4.26</v>
      </c>
      <c r="G531">
        <v>-12.29</v>
      </c>
      <c r="H531" s="46">
        <v>821502</v>
      </c>
      <c r="I531" s="46">
        <v>919786</v>
      </c>
      <c r="J531">
        <v>-10.68</v>
      </c>
      <c r="K531">
        <v>0</v>
      </c>
    </row>
    <row r="532" spans="1:11" customFormat="1" hidden="1">
      <c r="A532">
        <v>3441</v>
      </c>
      <c r="B532" t="s">
        <v>1999</v>
      </c>
      <c r="C532" s="46">
        <v>43931</v>
      </c>
      <c r="D532" s="46">
        <v>55354</v>
      </c>
      <c r="E532" s="46">
        <v>81308</v>
      </c>
      <c r="F532">
        <v>-20.63</v>
      </c>
      <c r="G532">
        <v>-45.96</v>
      </c>
      <c r="H532" s="46">
        <v>580006</v>
      </c>
      <c r="I532" s="46">
        <v>652695</v>
      </c>
      <c r="J532">
        <v>-11.13</v>
      </c>
      <c r="K532">
        <v>0</v>
      </c>
    </row>
    <row r="533" spans="1:11" customFormat="1" hidden="1">
      <c r="A533">
        <v>3438</v>
      </c>
      <c r="B533" t="s">
        <v>1971</v>
      </c>
      <c r="C533" s="46">
        <v>75508</v>
      </c>
      <c r="D533" s="46">
        <v>68983</v>
      </c>
      <c r="E533" s="46">
        <v>91792</v>
      </c>
      <c r="F533">
        <v>9.4499999999999993</v>
      </c>
      <c r="G533">
        <v>-17.739999999999998</v>
      </c>
      <c r="H533" s="46">
        <v>742472</v>
      </c>
      <c r="I533" s="46">
        <v>884540</v>
      </c>
      <c r="J533">
        <v>-16.059999999999999</v>
      </c>
      <c r="K533">
        <v>0</v>
      </c>
    </row>
    <row r="534" spans="1:11" customFormat="1" hidden="1">
      <c r="A534">
        <v>3434</v>
      </c>
      <c r="B534" t="s">
        <v>328</v>
      </c>
      <c r="C534" s="46">
        <v>58460</v>
      </c>
      <c r="D534" s="46">
        <v>73012</v>
      </c>
      <c r="E534" s="46">
        <v>62961</v>
      </c>
      <c r="F534">
        <v>-19.93</v>
      </c>
      <c r="G534">
        <v>-7.14</v>
      </c>
      <c r="H534" s="46">
        <v>567944</v>
      </c>
      <c r="I534" s="46">
        <v>575352</v>
      </c>
      <c r="J534">
        <v>-1.28</v>
      </c>
      <c r="K534">
        <v>0</v>
      </c>
    </row>
    <row r="535" spans="1:11" customFormat="1" hidden="1">
      <c r="A535">
        <v>3431</v>
      </c>
      <c r="B535" t="s">
        <v>2178</v>
      </c>
      <c r="C535" s="46">
        <v>25750</v>
      </c>
      <c r="D535" s="46">
        <v>45793</v>
      </c>
      <c r="E535" s="46">
        <v>68605</v>
      </c>
      <c r="F535">
        <v>-43.76</v>
      </c>
      <c r="G535">
        <v>-62.46</v>
      </c>
      <c r="H535" s="46">
        <v>439950</v>
      </c>
      <c r="I535" s="46">
        <v>714169</v>
      </c>
      <c r="J535">
        <v>-38.39</v>
      </c>
      <c r="K535">
        <v>0</v>
      </c>
    </row>
    <row r="536" spans="1:11" customFormat="1" hidden="1">
      <c r="A536">
        <v>3428</v>
      </c>
      <c r="B536" t="s">
        <v>327</v>
      </c>
      <c r="C536" s="46">
        <v>160890</v>
      </c>
      <c r="D536" s="46">
        <v>201174</v>
      </c>
      <c r="E536" s="46">
        <v>120245</v>
      </c>
      <c r="F536">
        <v>-20.02</v>
      </c>
      <c r="G536">
        <v>33.799999999999997</v>
      </c>
      <c r="H536" s="46">
        <v>1536330</v>
      </c>
      <c r="I536" s="46">
        <v>1165131</v>
      </c>
      <c r="J536">
        <v>31.85</v>
      </c>
      <c r="K536">
        <v>0</v>
      </c>
    </row>
    <row r="537" spans="1:11" customFormat="1">
      <c r="A537" s="62" t="str">
        <f>HYPERLINK("http://tw.stock.yahoo.com/q/ta?s=3169","3169")</f>
        <v>3169</v>
      </c>
      <c r="B537" s="62" t="str">
        <f>HYPERLINK("http://tw.stock.yahoo.com/d/s/earning_3169.html","亞信電子")</f>
        <v>亞信電子</v>
      </c>
      <c r="C537" s="46">
        <v>63011</v>
      </c>
      <c r="D537" s="46">
        <v>55751</v>
      </c>
      <c r="E537" s="46">
        <v>43097</v>
      </c>
      <c r="F537">
        <v>13.02</v>
      </c>
      <c r="G537">
        <v>46.2</v>
      </c>
      <c r="H537" s="46">
        <v>496029</v>
      </c>
      <c r="I537" s="46">
        <v>380853</v>
      </c>
      <c r="J537">
        <v>30.24</v>
      </c>
      <c r="K537" s="242">
        <v>1</v>
      </c>
    </row>
    <row r="538" spans="1:11" customFormat="1" hidden="1">
      <c r="A538">
        <v>3390</v>
      </c>
      <c r="B538" t="s">
        <v>1515</v>
      </c>
      <c r="C538" s="46">
        <v>61098</v>
      </c>
      <c r="D538" s="46">
        <v>56779</v>
      </c>
      <c r="E538" s="46">
        <v>94570</v>
      </c>
      <c r="F538">
        <v>7.6</v>
      </c>
      <c r="G538">
        <v>-35.39</v>
      </c>
      <c r="H538" s="46">
        <v>671345</v>
      </c>
      <c r="I538" s="46">
        <v>1128192</v>
      </c>
      <c r="J538">
        <v>-40.49</v>
      </c>
      <c r="K538">
        <v>0</v>
      </c>
    </row>
    <row r="539" spans="1:11" customFormat="1" hidden="1">
      <c r="A539">
        <v>3388</v>
      </c>
      <c r="B539" t="s">
        <v>326</v>
      </c>
      <c r="C539" s="46">
        <v>590632</v>
      </c>
      <c r="D539" s="46">
        <v>588410</v>
      </c>
      <c r="E539" s="46">
        <v>665570</v>
      </c>
      <c r="F539">
        <v>0.37</v>
      </c>
      <c r="G539">
        <v>-11.25</v>
      </c>
      <c r="H539" s="46">
        <v>5892883</v>
      </c>
      <c r="I539" s="46">
        <v>6273529</v>
      </c>
      <c r="J539">
        <v>-6.06</v>
      </c>
      <c r="K539">
        <v>0</v>
      </c>
    </row>
    <row r="540" spans="1:11" customFormat="1" hidden="1">
      <c r="A540">
        <v>3379</v>
      </c>
      <c r="B540" t="s">
        <v>2121</v>
      </c>
      <c r="C540" s="46">
        <v>71276</v>
      </c>
      <c r="D540" s="46">
        <v>92382</v>
      </c>
      <c r="E540" s="46">
        <v>35785</v>
      </c>
      <c r="F540">
        <v>-22.84</v>
      </c>
      <c r="G540">
        <v>99.17</v>
      </c>
      <c r="H540" s="46">
        <v>891290</v>
      </c>
      <c r="I540" s="46">
        <v>782102</v>
      </c>
      <c r="J540">
        <v>13.96</v>
      </c>
      <c r="K540" s="242">
        <v>0</v>
      </c>
    </row>
    <row r="541" spans="1:11" customFormat="1" hidden="1">
      <c r="A541">
        <v>3374</v>
      </c>
      <c r="B541" t="s">
        <v>325</v>
      </c>
      <c r="C541" s="46">
        <v>358576</v>
      </c>
      <c r="D541" s="46">
        <v>387218</v>
      </c>
      <c r="E541" s="46">
        <v>435661</v>
      </c>
      <c r="F541">
        <v>-7.39</v>
      </c>
      <c r="G541">
        <v>-17.690000000000001</v>
      </c>
      <c r="H541" s="46">
        <v>4210630</v>
      </c>
      <c r="I541" s="46">
        <v>3932117</v>
      </c>
      <c r="J541">
        <v>7.08</v>
      </c>
      <c r="K541">
        <v>0</v>
      </c>
    </row>
    <row r="542" spans="1:11" customFormat="1" hidden="1">
      <c r="A542">
        <v>3373</v>
      </c>
      <c r="B542" t="s">
        <v>324</v>
      </c>
      <c r="C542" s="46">
        <v>84582</v>
      </c>
      <c r="D542" s="46">
        <v>83193</v>
      </c>
      <c r="E542" s="46">
        <v>63656</v>
      </c>
      <c r="F542">
        <v>1.66</v>
      </c>
      <c r="G542">
        <v>32.869999999999997</v>
      </c>
      <c r="H542" s="46">
        <v>748919</v>
      </c>
      <c r="I542" s="46">
        <v>607814</v>
      </c>
      <c r="J542">
        <v>23.21</v>
      </c>
      <c r="K542">
        <v>1</v>
      </c>
    </row>
    <row r="543" spans="1:11" customFormat="1" hidden="1">
      <c r="A543">
        <v>3372</v>
      </c>
      <c r="B543" t="s">
        <v>323</v>
      </c>
      <c r="C543" s="46">
        <v>121657</v>
      </c>
      <c r="D543" s="46">
        <v>151980</v>
      </c>
      <c r="E543" s="46">
        <v>219669</v>
      </c>
      <c r="F543">
        <v>-19.95</v>
      </c>
      <c r="G543">
        <v>-44.61</v>
      </c>
      <c r="H543" s="46">
        <v>1529994</v>
      </c>
      <c r="I543" s="46">
        <v>1855502</v>
      </c>
      <c r="J543">
        <v>-17.54</v>
      </c>
      <c r="K543">
        <v>0</v>
      </c>
    </row>
    <row r="544" spans="1:11" customFormat="1" hidden="1">
      <c r="A544">
        <v>3363</v>
      </c>
      <c r="B544" t="s">
        <v>322</v>
      </c>
      <c r="C544" s="46">
        <v>66965</v>
      </c>
      <c r="D544" s="46">
        <v>74307</v>
      </c>
      <c r="E544" s="46">
        <v>71656</v>
      </c>
      <c r="F544">
        <v>-9.8800000000000008</v>
      </c>
      <c r="G544">
        <v>-6.54</v>
      </c>
      <c r="H544" s="46">
        <v>772010</v>
      </c>
      <c r="I544" s="46">
        <v>779445</v>
      </c>
      <c r="J544">
        <v>-0.95</v>
      </c>
      <c r="K544">
        <v>0</v>
      </c>
    </row>
    <row r="545" spans="1:11" customFormat="1" hidden="1">
      <c r="A545">
        <v>3362</v>
      </c>
      <c r="B545" t="s">
        <v>2167</v>
      </c>
      <c r="C545" s="46">
        <v>106609</v>
      </c>
      <c r="D545" s="46">
        <v>105522</v>
      </c>
      <c r="E545" s="46">
        <v>112318</v>
      </c>
      <c r="F545">
        <v>1.03</v>
      </c>
      <c r="G545">
        <v>-5.08</v>
      </c>
      <c r="H545" s="46">
        <v>1023835</v>
      </c>
      <c r="I545" s="46">
        <v>1225002</v>
      </c>
      <c r="J545">
        <v>-16.420000000000002</v>
      </c>
      <c r="K545" s="242">
        <v>0</v>
      </c>
    </row>
    <row r="546" spans="1:11" customFormat="1" hidden="1">
      <c r="A546">
        <v>3360</v>
      </c>
      <c r="B546" t="s">
        <v>321</v>
      </c>
      <c r="C546" s="46">
        <v>1033336</v>
      </c>
      <c r="D546" s="46">
        <v>1215858</v>
      </c>
      <c r="E546" s="46">
        <v>1109344</v>
      </c>
      <c r="F546">
        <v>-15.01</v>
      </c>
      <c r="G546">
        <v>-6.85</v>
      </c>
      <c r="H546" s="46">
        <v>9407957</v>
      </c>
      <c r="I546" s="46">
        <v>10166516</v>
      </c>
      <c r="J546">
        <v>-7.46</v>
      </c>
      <c r="K546">
        <v>1</v>
      </c>
    </row>
    <row r="547" spans="1:11" customFormat="1" hidden="1">
      <c r="A547">
        <v>3354</v>
      </c>
      <c r="B547" t="s">
        <v>2191</v>
      </c>
      <c r="C547" s="46">
        <v>49189</v>
      </c>
      <c r="D547" s="46">
        <v>45841</v>
      </c>
      <c r="E547" s="46">
        <v>60264</v>
      </c>
      <c r="F547">
        <v>7.3</v>
      </c>
      <c r="G547">
        <v>-18.37</v>
      </c>
      <c r="H547" s="46">
        <v>473440</v>
      </c>
      <c r="I547" s="46">
        <v>692021</v>
      </c>
      <c r="J547">
        <v>-31.58</v>
      </c>
      <c r="K547">
        <v>0</v>
      </c>
    </row>
    <row r="548" spans="1:11" customFormat="1" hidden="1">
      <c r="A548">
        <v>3339</v>
      </c>
      <c r="B548" t="s">
        <v>2166</v>
      </c>
      <c r="C548" s="46">
        <v>74640</v>
      </c>
      <c r="D548" s="46">
        <v>90980</v>
      </c>
      <c r="E548" s="46">
        <v>155126</v>
      </c>
      <c r="F548">
        <v>-17.95</v>
      </c>
      <c r="G548">
        <v>-51.88</v>
      </c>
      <c r="H548" s="46">
        <v>932198</v>
      </c>
      <c r="I548" s="46">
        <v>1718492</v>
      </c>
      <c r="J548">
        <v>-45.75</v>
      </c>
      <c r="K548">
        <v>0</v>
      </c>
    </row>
    <row r="549" spans="1:11" customFormat="1" hidden="1">
      <c r="A549">
        <v>3332</v>
      </c>
      <c r="B549" t="s">
        <v>320</v>
      </c>
      <c r="C549" s="46">
        <v>97359</v>
      </c>
      <c r="D549" s="46">
        <v>94812</v>
      </c>
      <c r="E549" s="46">
        <v>92921</v>
      </c>
      <c r="F549">
        <v>2.68</v>
      </c>
      <c r="G549">
        <v>4.7699999999999996</v>
      </c>
      <c r="H549" s="46">
        <v>972777</v>
      </c>
      <c r="I549" s="46">
        <v>997706</v>
      </c>
      <c r="J549">
        <v>-2.4900000000000002</v>
      </c>
      <c r="K549" s="242">
        <v>0</v>
      </c>
    </row>
    <row r="550" spans="1:11" customFormat="1" hidden="1">
      <c r="A550">
        <v>3325</v>
      </c>
      <c r="B550" t="s">
        <v>2149</v>
      </c>
      <c r="C550" s="46">
        <v>134500</v>
      </c>
      <c r="D550" s="46">
        <v>137270</v>
      </c>
      <c r="E550" s="46">
        <v>88226</v>
      </c>
      <c r="F550">
        <v>-2.0099999999999998</v>
      </c>
      <c r="G550">
        <v>52.44</v>
      </c>
      <c r="H550" s="46">
        <v>1084586</v>
      </c>
      <c r="I550" s="46">
        <v>1144778</v>
      </c>
      <c r="J550">
        <v>-5.25</v>
      </c>
      <c r="K550">
        <v>1</v>
      </c>
    </row>
    <row r="551" spans="1:11" customFormat="1" hidden="1">
      <c r="A551">
        <v>3324</v>
      </c>
      <c r="B551" t="s">
        <v>2226</v>
      </c>
      <c r="C551" s="46">
        <v>436487</v>
      </c>
      <c r="D551" s="46">
        <v>530311</v>
      </c>
      <c r="E551" s="46">
        <v>389882</v>
      </c>
      <c r="F551">
        <v>-17.690000000000001</v>
      </c>
      <c r="G551">
        <v>11.95</v>
      </c>
      <c r="H551" s="46">
        <v>3812381</v>
      </c>
      <c r="I551" s="46">
        <v>3372511</v>
      </c>
      <c r="J551">
        <v>13.04</v>
      </c>
      <c r="K551">
        <v>1</v>
      </c>
    </row>
    <row r="552" spans="1:11" customFormat="1" hidden="1">
      <c r="A552">
        <v>3323</v>
      </c>
      <c r="B552" t="s">
        <v>319</v>
      </c>
      <c r="C552" s="46">
        <v>411201</v>
      </c>
      <c r="D552" s="46">
        <v>487803</v>
      </c>
      <c r="E552" s="46">
        <v>526845</v>
      </c>
      <c r="F552">
        <v>-15.7</v>
      </c>
      <c r="G552">
        <v>-21.95</v>
      </c>
      <c r="H552" s="46">
        <v>3997742</v>
      </c>
      <c r="I552" s="46">
        <v>3787611</v>
      </c>
      <c r="J552">
        <v>5.54</v>
      </c>
      <c r="K552">
        <v>0</v>
      </c>
    </row>
    <row r="553" spans="1:11" customFormat="1" hidden="1">
      <c r="A553">
        <v>3322</v>
      </c>
      <c r="B553" t="s">
        <v>2025</v>
      </c>
      <c r="C553" s="46">
        <v>181970</v>
      </c>
      <c r="D553" s="46">
        <v>209711</v>
      </c>
      <c r="E553" s="46">
        <v>208380</v>
      </c>
      <c r="F553">
        <v>-13.22</v>
      </c>
      <c r="G553">
        <v>-12.67</v>
      </c>
      <c r="H553" s="46">
        <v>1697416</v>
      </c>
      <c r="I553" s="46">
        <v>1954584</v>
      </c>
      <c r="J553">
        <v>-13.15</v>
      </c>
      <c r="K553">
        <v>1</v>
      </c>
    </row>
    <row r="554" spans="1:11" customFormat="1" hidden="1">
      <c r="A554">
        <v>3317</v>
      </c>
      <c r="B554" t="s">
        <v>1970</v>
      </c>
      <c r="C554" s="46">
        <v>183137</v>
      </c>
      <c r="D554" s="46">
        <v>229544</v>
      </c>
      <c r="E554" s="46">
        <v>159619</v>
      </c>
      <c r="F554">
        <v>-20.21</v>
      </c>
      <c r="G554">
        <v>14.73</v>
      </c>
      <c r="H554" s="46">
        <v>1615375</v>
      </c>
      <c r="I554" s="46">
        <v>2007897</v>
      </c>
      <c r="J554">
        <v>-19.54</v>
      </c>
      <c r="K554">
        <v>1</v>
      </c>
    </row>
    <row r="555" spans="1:11" customFormat="1" hidden="1">
      <c r="A555">
        <v>3313</v>
      </c>
      <c r="B555" t="s">
        <v>318</v>
      </c>
      <c r="C555" s="46">
        <v>125231</v>
      </c>
      <c r="D555" s="46">
        <v>164192</v>
      </c>
      <c r="E555" s="46">
        <v>176868</v>
      </c>
      <c r="F555">
        <v>-23.72</v>
      </c>
      <c r="G555">
        <v>-29.19</v>
      </c>
      <c r="H555" s="46">
        <v>1414880</v>
      </c>
      <c r="I555" s="46">
        <v>1616471</v>
      </c>
      <c r="J555">
        <v>-12.47</v>
      </c>
      <c r="K555" s="242">
        <v>0</v>
      </c>
    </row>
    <row r="556" spans="1:11" customFormat="1" hidden="1">
      <c r="A556">
        <v>3310</v>
      </c>
      <c r="B556" t="s">
        <v>2024</v>
      </c>
      <c r="C556" s="46">
        <v>33780</v>
      </c>
      <c r="D556" s="46">
        <v>32217</v>
      </c>
      <c r="E556" s="46">
        <v>40551</v>
      </c>
      <c r="F556">
        <v>4.8499999999999996</v>
      </c>
      <c r="G556">
        <v>-16.690000000000001</v>
      </c>
      <c r="H556" s="46">
        <v>381210</v>
      </c>
      <c r="I556" s="46">
        <v>356933</v>
      </c>
      <c r="J556">
        <v>6.8</v>
      </c>
      <c r="K556">
        <v>0</v>
      </c>
    </row>
    <row r="557" spans="1:11" customFormat="1" hidden="1">
      <c r="A557">
        <v>3306</v>
      </c>
      <c r="B557" t="s">
        <v>2177</v>
      </c>
      <c r="C557" s="46">
        <v>124010</v>
      </c>
      <c r="D557" s="46">
        <v>131213</v>
      </c>
      <c r="E557" s="46">
        <v>123102</v>
      </c>
      <c r="F557">
        <v>-5.48</v>
      </c>
      <c r="G557">
        <v>0.73</v>
      </c>
      <c r="H557" s="46">
        <v>1095140</v>
      </c>
      <c r="I557" s="46">
        <v>1138277</v>
      </c>
      <c r="J557">
        <v>-3.78</v>
      </c>
      <c r="K557">
        <v>1</v>
      </c>
    </row>
    <row r="558" spans="1:11" customFormat="1" hidden="1">
      <c r="A558">
        <v>3303</v>
      </c>
      <c r="B558" t="s">
        <v>317</v>
      </c>
      <c r="C558" s="46">
        <v>217435</v>
      </c>
      <c r="D558" s="46">
        <v>248931</v>
      </c>
      <c r="E558" s="46">
        <v>206713</v>
      </c>
      <c r="F558">
        <v>-12.65</v>
      </c>
      <c r="G558">
        <v>5.18</v>
      </c>
      <c r="H558" s="46">
        <v>1992541</v>
      </c>
      <c r="I558" s="46">
        <v>2325678</v>
      </c>
      <c r="J558">
        <v>-14.32</v>
      </c>
      <c r="K558" s="242">
        <v>1</v>
      </c>
    </row>
    <row r="559" spans="1:11" customFormat="1" hidden="1">
      <c r="A559">
        <v>3299</v>
      </c>
      <c r="B559" t="s">
        <v>316</v>
      </c>
      <c r="C559" s="46">
        <v>225492</v>
      </c>
      <c r="D559" s="46">
        <v>243943</v>
      </c>
      <c r="E559" s="46">
        <v>219675</v>
      </c>
      <c r="F559">
        <v>-7.56</v>
      </c>
      <c r="G559">
        <v>2.64</v>
      </c>
      <c r="H559" s="46">
        <v>2219615</v>
      </c>
      <c r="I559" s="46">
        <v>2101705</v>
      </c>
      <c r="J559">
        <v>5.61</v>
      </c>
      <c r="K559" s="242">
        <v>0</v>
      </c>
    </row>
    <row r="560" spans="1:11" customFormat="1" hidden="1">
      <c r="A560">
        <v>3297</v>
      </c>
      <c r="B560" t="s">
        <v>315</v>
      </c>
      <c r="C560" s="46">
        <v>41205</v>
      </c>
      <c r="D560" s="46">
        <v>47126</v>
      </c>
      <c r="E560" s="46">
        <v>66135</v>
      </c>
      <c r="F560">
        <v>-12.56</v>
      </c>
      <c r="G560">
        <v>-37.69</v>
      </c>
      <c r="H560" s="46">
        <v>451351</v>
      </c>
      <c r="I560" s="46">
        <v>609666</v>
      </c>
      <c r="J560">
        <v>-25.96</v>
      </c>
      <c r="K560">
        <v>0</v>
      </c>
    </row>
    <row r="561" spans="1:11" customFormat="1" hidden="1">
      <c r="A561">
        <v>3294</v>
      </c>
      <c r="B561" t="s">
        <v>314</v>
      </c>
      <c r="C561" s="46">
        <v>567639</v>
      </c>
      <c r="D561" s="46">
        <v>579521</v>
      </c>
      <c r="E561" s="46">
        <v>423599</v>
      </c>
      <c r="F561">
        <v>-2.0499999999999998</v>
      </c>
      <c r="G561">
        <v>34</v>
      </c>
      <c r="H561" s="46">
        <v>4962157</v>
      </c>
      <c r="I561" s="46">
        <v>3880542</v>
      </c>
      <c r="J561">
        <v>27.87</v>
      </c>
      <c r="K561">
        <v>1</v>
      </c>
    </row>
    <row r="562" spans="1:11" customFormat="1" hidden="1">
      <c r="A562">
        <v>3293</v>
      </c>
      <c r="B562" t="s">
        <v>2094</v>
      </c>
      <c r="C562" s="46">
        <v>168277</v>
      </c>
      <c r="D562" s="46">
        <v>176535</v>
      </c>
      <c r="E562" s="46">
        <v>140457</v>
      </c>
      <c r="F562">
        <v>-4.67</v>
      </c>
      <c r="G562">
        <v>19.8</v>
      </c>
      <c r="H562" s="46">
        <v>1516697</v>
      </c>
      <c r="I562" s="46">
        <v>1387307</v>
      </c>
      <c r="J562">
        <v>9.32</v>
      </c>
      <c r="K562">
        <v>1</v>
      </c>
    </row>
    <row r="563" spans="1:11" customFormat="1" hidden="1">
      <c r="A563">
        <v>3291</v>
      </c>
      <c r="B563" t="s">
        <v>313</v>
      </c>
      <c r="C563" s="46">
        <v>58645</v>
      </c>
      <c r="D563" s="46">
        <v>52761</v>
      </c>
      <c r="E563" s="46">
        <v>72481</v>
      </c>
      <c r="F563">
        <v>11.15</v>
      </c>
      <c r="G563">
        <v>-19.079999999999998</v>
      </c>
      <c r="H563" s="46">
        <v>575676</v>
      </c>
      <c r="I563" s="46">
        <v>758338</v>
      </c>
      <c r="J563">
        <v>-24.08</v>
      </c>
      <c r="K563">
        <v>0</v>
      </c>
    </row>
    <row r="564" spans="1:11" customFormat="1" hidden="1">
      <c r="A564">
        <v>3290</v>
      </c>
      <c r="B564" t="s">
        <v>2011</v>
      </c>
      <c r="C564" s="46">
        <v>256187</v>
      </c>
      <c r="D564" s="46">
        <v>230796</v>
      </c>
      <c r="E564" s="46">
        <v>300096</v>
      </c>
      <c r="F564">
        <v>11</v>
      </c>
      <c r="G564">
        <v>-14.63</v>
      </c>
      <c r="H564" s="46">
        <v>2371679</v>
      </c>
      <c r="I564" s="46">
        <v>2703127</v>
      </c>
      <c r="J564">
        <v>-12.26</v>
      </c>
      <c r="K564">
        <v>1</v>
      </c>
    </row>
    <row r="565" spans="1:11" customFormat="1" hidden="1">
      <c r="A565">
        <v>3289</v>
      </c>
      <c r="B565" t="s">
        <v>2225</v>
      </c>
      <c r="C565" s="46">
        <v>161822</v>
      </c>
      <c r="D565" s="46">
        <v>172659</v>
      </c>
      <c r="E565" s="46">
        <v>146047</v>
      </c>
      <c r="F565">
        <v>-6.27</v>
      </c>
      <c r="G565" s="233">
        <v>10.8</v>
      </c>
      <c r="H565" s="46">
        <v>1676504</v>
      </c>
      <c r="I565" s="46">
        <v>1525190</v>
      </c>
      <c r="J565">
        <v>9.92</v>
      </c>
      <c r="K565">
        <v>0</v>
      </c>
    </row>
    <row r="566" spans="1:11" customFormat="1" hidden="1">
      <c r="A566">
        <v>3288</v>
      </c>
      <c r="B566" t="s">
        <v>2023</v>
      </c>
      <c r="C566" s="46">
        <v>24742</v>
      </c>
      <c r="D566" s="46">
        <v>31801</v>
      </c>
      <c r="E566" s="46">
        <v>32179</v>
      </c>
      <c r="F566">
        <v>-22.19</v>
      </c>
      <c r="G566">
        <v>-23.11</v>
      </c>
      <c r="H566" s="46">
        <v>223635</v>
      </c>
      <c r="I566" s="46">
        <v>326451</v>
      </c>
      <c r="J566">
        <v>-31.49</v>
      </c>
      <c r="K566">
        <v>1</v>
      </c>
    </row>
    <row r="567" spans="1:11" customFormat="1" hidden="1">
      <c r="A567">
        <v>3287</v>
      </c>
      <c r="B567" t="s">
        <v>1993</v>
      </c>
      <c r="C567" s="46">
        <v>30478</v>
      </c>
      <c r="D567" s="46">
        <v>30082</v>
      </c>
      <c r="E567" s="46">
        <v>62629</v>
      </c>
      <c r="F567">
        <v>1.31</v>
      </c>
      <c r="G567">
        <v>-51.33</v>
      </c>
      <c r="H567" s="46">
        <v>329403</v>
      </c>
      <c r="I567" s="46">
        <v>513697</v>
      </c>
      <c r="J567">
        <v>-35.869999999999997</v>
      </c>
      <c r="K567">
        <v>0</v>
      </c>
    </row>
    <row r="568" spans="1:11" customFormat="1" hidden="1">
      <c r="A568">
        <v>3285</v>
      </c>
      <c r="B568" t="s">
        <v>312</v>
      </c>
      <c r="C568" s="46">
        <v>131559</v>
      </c>
      <c r="D568" s="46">
        <v>144936</v>
      </c>
      <c r="E568" s="46">
        <v>105567</v>
      </c>
      <c r="F568">
        <v>-9.2200000000000006</v>
      </c>
      <c r="G568">
        <v>24.62</v>
      </c>
      <c r="H568" s="46">
        <v>1237427</v>
      </c>
      <c r="I568" s="46">
        <v>1012961</v>
      </c>
      <c r="J568">
        <v>22.15</v>
      </c>
      <c r="K568">
        <v>1</v>
      </c>
    </row>
    <row r="569" spans="1:11" customFormat="1" hidden="1">
      <c r="A569">
        <v>3284</v>
      </c>
      <c r="B569" t="s">
        <v>311</v>
      </c>
      <c r="C569" s="46">
        <v>65224</v>
      </c>
      <c r="D569" s="46">
        <v>80980</v>
      </c>
      <c r="E569" s="46">
        <v>90368</v>
      </c>
      <c r="F569">
        <v>-19.45</v>
      </c>
      <c r="G569">
        <v>-27.82</v>
      </c>
      <c r="H569" s="46">
        <v>745218</v>
      </c>
      <c r="I569" s="46">
        <v>851902</v>
      </c>
      <c r="J569">
        <v>-12.52</v>
      </c>
      <c r="K569">
        <v>0</v>
      </c>
    </row>
    <row r="570" spans="1:11" customFormat="1" hidden="1">
      <c r="A570">
        <v>3276</v>
      </c>
      <c r="B570" t="s">
        <v>1499</v>
      </c>
      <c r="C570" s="46">
        <v>75279</v>
      </c>
      <c r="D570" s="46">
        <v>81683</v>
      </c>
      <c r="E570" s="46">
        <v>73278</v>
      </c>
      <c r="F570">
        <v>-7.84</v>
      </c>
      <c r="G570">
        <v>2.73</v>
      </c>
      <c r="H570" s="46">
        <v>704276</v>
      </c>
      <c r="I570" s="46">
        <v>790536</v>
      </c>
      <c r="J570">
        <v>-10.91</v>
      </c>
      <c r="K570">
        <v>1</v>
      </c>
    </row>
    <row r="571" spans="1:11" customFormat="1" hidden="1">
      <c r="A571">
        <v>3272</v>
      </c>
      <c r="B571" t="s">
        <v>310</v>
      </c>
      <c r="C571" s="46">
        <v>219481</v>
      </c>
      <c r="D571" s="46">
        <v>244579</v>
      </c>
      <c r="E571" s="46">
        <v>211950</v>
      </c>
      <c r="F571">
        <v>-10.26</v>
      </c>
      <c r="G571">
        <v>3.55</v>
      </c>
      <c r="H571" s="46">
        <v>2376255</v>
      </c>
      <c r="I571" s="46">
        <v>2583791</v>
      </c>
      <c r="J571">
        <v>-8.0299999999999994</v>
      </c>
      <c r="K571">
        <v>0</v>
      </c>
    </row>
    <row r="572" spans="1:11" customFormat="1" hidden="1">
      <c r="A572">
        <v>3268</v>
      </c>
      <c r="B572" t="s">
        <v>309</v>
      </c>
      <c r="C572" s="46">
        <v>93310</v>
      </c>
      <c r="D572" s="46">
        <v>43122</v>
      </c>
      <c r="E572" s="46">
        <v>75524</v>
      </c>
      <c r="F572">
        <v>116.38</v>
      </c>
      <c r="G572">
        <v>23.55</v>
      </c>
      <c r="H572" s="46">
        <v>660443</v>
      </c>
      <c r="I572" s="46">
        <v>755403</v>
      </c>
      <c r="J572">
        <v>-12.57</v>
      </c>
      <c r="K572">
        <v>1</v>
      </c>
    </row>
    <row r="573" spans="1:11" customFormat="1" hidden="1">
      <c r="A573">
        <v>3265</v>
      </c>
      <c r="B573" t="s">
        <v>308</v>
      </c>
      <c r="C573" s="46">
        <v>168369</v>
      </c>
      <c r="D573" s="46">
        <v>146220</v>
      </c>
      <c r="E573" s="46">
        <v>344799</v>
      </c>
      <c r="F573">
        <v>15.14</v>
      </c>
      <c r="G573">
        <v>-51.16</v>
      </c>
      <c r="H573" s="46">
        <v>2544781</v>
      </c>
      <c r="I573" s="46">
        <v>3560432</v>
      </c>
      <c r="J573">
        <v>-28.52</v>
      </c>
      <c r="K573">
        <v>0</v>
      </c>
    </row>
    <row r="574" spans="1:11" customFormat="1" hidden="1">
      <c r="A574">
        <v>3264</v>
      </c>
      <c r="B574" t="s">
        <v>1969</v>
      </c>
      <c r="C574" s="46">
        <v>461789</v>
      </c>
      <c r="D574" s="46">
        <v>506305</v>
      </c>
      <c r="E574" s="46">
        <v>525111</v>
      </c>
      <c r="F574">
        <v>-8.7899999999999991</v>
      </c>
      <c r="G574">
        <v>-12.05</v>
      </c>
      <c r="H574" s="46">
        <v>5054150</v>
      </c>
      <c r="I574" s="46">
        <v>4807826</v>
      </c>
      <c r="J574">
        <v>5.12</v>
      </c>
      <c r="K574" s="242">
        <v>0</v>
      </c>
    </row>
    <row r="575" spans="1:11" customFormat="1" hidden="1">
      <c r="A575">
        <v>3260</v>
      </c>
      <c r="B575" t="s">
        <v>2142</v>
      </c>
      <c r="C575" s="46">
        <v>1672344</v>
      </c>
      <c r="D575" s="46">
        <v>1642522</v>
      </c>
      <c r="E575" s="46">
        <v>2273445</v>
      </c>
      <c r="F575">
        <v>1.81</v>
      </c>
      <c r="G575">
        <v>-26.44</v>
      </c>
      <c r="H575" s="46">
        <v>16648452</v>
      </c>
      <c r="I575" s="46">
        <v>24520385</v>
      </c>
      <c r="J575">
        <v>-32.1</v>
      </c>
      <c r="K575" s="242">
        <v>0</v>
      </c>
    </row>
    <row r="576" spans="1:11" customFormat="1" hidden="1">
      <c r="A576">
        <v>3259</v>
      </c>
      <c r="B576" t="s">
        <v>1968</v>
      </c>
      <c r="C576" s="46">
        <v>32244</v>
      </c>
      <c r="D576" s="46">
        <v>32270</v>
      </c>
      <c r="E576" s="46">
        <v>52418</v>
      </c>
      <c r="F576">
        <v>-0.08</v>
      </c>
      <c r="G576">
        <v>-38.479999999999997</v>
      </c>
      <c r="H576" s="46">
        <v>398058</v>
      </c>
      <c r="I576" s="46">
        <v>467443</v>
      </c>
      <c r="J576">
        <v>-14.84</v>
      </c>
      <c r="K576" s="242">
        <v>0</v>
      </c>
    </row>
    <row r="577" spans="1:11" customFormat="1" hidden="1">
      <c r="A577">
        <v>3252</v>
      </c>
      <c r="B577" t="s">
        <v>307</v>
      </c>
      <c r="C577" s="46">
        <v>6955</v>
      </c>
      <c r="D577" s="46">
        <v>7512</v>
      </c>
      <c r="E577" s="46">
        <v>16946</v>
      </c>
      <c r="F577">
        <v>-7.41</v>
      </c>
      <c r="G577">
        <v>-58.95</v>
      </c>
      <c r="H577" s="46">
        <v>119345</v>
      </c>
      <c r="I577" s="46">
        <v>165715</v>
      </c>
      <c r="J577">
        <v>-27.98</v>
      </c>
      <c r="K577">
        <v>0</v>
      </c>
    </row>
    <row r="578" spans="1:11" customFormat="1" hidden="1">
      <c r="A578">
        <v>3236</v>
      </c>
      <c r="B578" t="s">
        <v>306</v>
      </c>
      <c r="C578" s="46">
        <v>170760</v>
      </c>
      <c r="D578" s="46">
        <v>178070</v>
      </c>
      <c r="E578" s="46">
        <v>149686</v>
      </c>
      <c r="F578">
        <v>-4.0999999999999996</v>
      </c>
      <c r="G578">
        <v>14.07</v>
      </c>
      <c r="H578" s="46">
        <v>1548865</v>
      </c>
      <c r="I578" s="46">
        <v>1526037</v>
      </c>
      <c r="J578">
        <v>1.49</v>
      </c>
      <c r="K578">
        <v>1</v>
      </c>
    </row>
    <row r="579" spans="1:11" customFormat="1">
      <c r="A579" s="62" t="str">
        <f>HYPERLINK("http://tw.stock.yahoo.com/q/ta?s=3552","3552")</f>
        <v>3552</v>
      </c>
      <c r="B579" s="62" t="str">
        <f>HYPERLINK("http://tw.stock.yahoo.com/d/s/earning_3552.html","同致電子")</f>
        <v>同致電子</v>
      </c>
      <c r="C579" s="46">
        <v>681521</v>
      </c>
      <c r="D579" s="46">
        <v>586243</v>
      </c>
      <c r="E579" s="46">
        <v>451239</v>
      </c>
      <c r="F579">
        <v>16.25</v>
      </c>
      <c r="G579">
        <v>51.03</v>
      </c>
      <c r="H579" s="46">
        <v>5379566</v>
      </c>
      <c r="I579" s="46">
        <v>4154431</v>
      </c>
      <c r="J579">
        <v>29.48</v>
      </c>
      <c r="K579">
        <v>1</v>
      </c>
    </row>
    <row r="580" spans="1:11" customFormat="1" hidden="1">
      <c r="A580">
        <v>3232</v>
      </c>
      <c r="B580" t="s">
        <v>304</v>
      </c>
      <c r="C580" s="46">
        <v>47568</v>
      </c>
      <c r="D580" s="46">
        <v>49864</v>
      </c>
      <c r="E580" s="46">
        <v>76637</v>
      </c>
      <c r="F580">
        <v>-4.5999999999999996</v>
      </c>
      <c r="G580">
        <v>-37.93</v>
      </c>
      <c r="H580" s="46">
        <v>627302</v>
      </c>
      <c r="I580" s="46">
        <v>728745</v>
      </c>
      <c r="J580">
        <v>-13.92</v>
      </c>
      <c r="K580">
        <v>0</v>
      </c>
    </row>
    <row r="581" spans="1:11" customFormat="1" hidden="1">
      <c r="A581">
        <v>3230</v>
      </c>
      <c r="B581" t="s">
        <v>2165</v>
      </c>
      <c r="C581" s="46">
        <v>136650</v>
      </c>
      <c r="D581" s="46">
        <v>136776</v>
      </c>
      <c r="E581" s="46">
        <v>204105</v>
      </c>
      <c r="F581">
        <v>-0.09</v>
      </c>
      <c r="G581">
        <v>-33.04</v>
      </c>
      <c r="H581" s="46">
        <v>1369295</v>
      </c>
      <c r="I581" s="46">
        <v>1848806</v>
      </c>
      <c r="J581">
        <v>-25.93</v>
      </c>
      <c r="K581">
        <v>0</v>
      </c>
    </row>
    <row r="582" spans="1:11" customFormat="1" hidden="1">
      <c r="A582">
        <v>3228</v>
      </c>
      <c r="B582" t="s">
        <v>303</v>
      </c>
      <c r="C582" s="46">
        <v>19366</v>
      </c>
      <c r="D582" s="46">
        <v>19018</v>
      </c>
      <c r="E582" s="46">
        <v>23278</v>
      </c>
      <c r="F582">
        <v>1.82</v>
      </c>
      <c r="G582">
        <v>-16.8</v>
      </c>
      <c r="H582" s="46">
        <v>225628</v>
      </c>
      <c r="I582" s="46">
        <v>226297</v>
      </c>
      <c r="J582">
        <v>-0.28999999999999998</v>
      </c>
      <c r="K582">
        <v>0</v>
      </c>
    </row>
    <row r="583" spans="1:11" customFormat="1" hidden="1">
      <c r="A583">
        <v>3227</v>
      </c>
      <c r="B583" t="s">
        <v>302</v>
      </c>
      <c r="C583" s="46">
        <v>368677</v>
      </c>
      <c r="D583" s="46">
        <v>350080</v>
      </c>
      <c r="E583" s="46">
        <v>391495</v>
      </c>
      <c r="F583">
        <v>5.31</v>
      </c>
      <c r="G583">
        <v>-5.82</v>
      </c>
      <c r="H583" s="46">
        <v>3610289</v>
      </c>
      <c r="I583" s="46">
        <v>4043624</v>
      </c>
      <c r="J583">
        <v>-10.71</v>
      </c>
      <c r="K583">
        <v>0</v>
      </c>
    </row>
    <row r="584" spans="1:11" customFormat="1" hidden="1">
      <c r="A584">
        <v>3226</v>
      </c>
      <c r="B584" t="s">
        <v>301</v>
      </c>
      <c r="C584" s="46">
        <v>90288</v>
      </c>
      <c r="D584" s="46">
        <v>102008</v>
      </c>
      <c r="E584" s="46">
        <v>65981</v>
      </c>
      <c r="F584">
        <v>-11.48</v>
      </c>
      <c r="G584">
        <v>36.83</v>
      </c>
      <c r="H584" s="46">
        <v>886742</v>
      </c>
      <c r="I584" s="46">
        <v>729060</v>
      </c>
      <c r="J584">
        <v>21.62</v>
      </c>
      <c r="K584">
        <v>0</v>
      </c>
    </row>
    <row r="585" spans="1:11" customFormat="1" hidden="1">
      <c r="A585">
        <v>3224</v>
      </c>
      <c r="B585" t="s">
        <v>1494</v>
      </c>
      <c r="C585" s="46">
        <v>193919</v>
      </c>
      <c r="D585" s="46">
        <v>215730</v>
      </c>
      <c r="E585" s="46">
        <v>190303</v>
      </c>
      <c r="F585">
        <v>-10.11</v>
      </c>
      <c r="G585">
        <v>1.9</v>
      </c>
      <c r="H585" s="46">
        <v>1788152</v>
      </c>
      <c r="I585" s="46">
        <v>1707015</v>
      </c>
      <c r="J585">
        <v>4.75</v>
      </c>
      <c r="K585">
        <v>1</v>
      </c>
    </row>
    <row r="586" spans="1:11" customFormat="1" hidden="1">
      <c r="A586">
        <v>3221</v>
      </c>
      <c r="B586" t="s">
        <v>2010</v>
      </c>
      <c r="C586" s="46">
        <v>158688</v>
      </c>
      <c r="D586" s="46">
        <v>141597</v>
      </c>
      <c r="E586" s="46">
        <v>156220</v>
      </c>
      <c r="F586">
        <v>12.07</v>
      </c>
      <c r="G586">
        <v>1.57</v>
      </c>
      <c r="H586" s="46">
        <v>1386361</v>
      </c>
      <c r="I586" s="46">
        <v>1451256</v>
      </c>
      <c r="J586">
        <v>-4.47</v>
      </c>
      <c r="K586">
        <v>1</v>
      </c>
    </row>
    <row r="587" spans="1:11" customFormat="1" hidden="1">
      <c r="A587">
        <v>3219</v>
      </c>
      <c r="B587" t="s">
        <v>2141</v>
      </c>
      <c r="C587" s="46">
        <v>10563</v>
      </c>
      <c r="D587" s="46">
        <v>13776</v>
      </c>
      <c r="E587" s="46">
        <v>34414</v>
      </c>
      <c r="F587">
        <v>-23.32</v>
      </c>
      <c r="G587">
        <v>-69.3</v>
      </c>
      <c r="H587" s="46">
        <v>150122</v>
      </c>
      <c r="I587" s="46">
        <v>215627</v>
      </c>
      <c r="J587">
        <v>-30.37</v>
      </c>
      <c r="K587">
        <v>0</v>
      </c>
    </row>
    <row r="588" spans="1:11" customFormat="1" hidden="1">
      <c r="A588">
        <v>3218</v>
      </c>
      <c r="B588" t="s">
        <v>300</v>
      </c>
      <c r="C588" s="46">
        <v>83270</v>
      </c>
      <c r="D588" s="46">
        <v>88824</v>
      </c>
      <c r="E588" s="46">
        <v>80620</v>
      </c>
      <c r="F588">
        <v>-6.25</v>
      </c>
      <c r="G588">
        <v>3.28</v>
      </c>
      <c r="H588" s="46">
        <v>852364</v>
      </c>
      <c r="I588" s="46">
        <v>817687</v>
      </c>
      <c r="J588">
        <v>4.24</v>
      </c>
      <c r="K588" s="242">
        <v>0</v>
      </c>
    </row>
    <row r="589" spans="1:11" customFormat="1" hidden="1">
      <c r="A589">
        <v>3217</v>
      </c>
      <c r="B589" t="s">
        <v>2190</v>
      </c>
      <c r="C589" s="46">
        <v>100084</v>
      </c>
      <c r="D589" s="46">
        <v>139380</v>
      </c>
      <c r="E589" s="46">
        <v>93642</v>
      </c>
      <c r="F589">
        <v>-28.19</v>
      </c>
      <c r="G589">
        <v>6.87</v>
      </c>
      <c r="H589" s="46">
        <v>1021264</v>
      </c>
      <c r="I589" s="46">
        <v>1055783</v>
      </c>
      <c r="J589">
        <v>-3.26</v>
      </c>
      <c r="K589">
        <v>0</v>
      </c>
    </row>
    <row r="590" spans="1:11" customFormat="1" hidden="1">
      <c r="A590">
        <v>3213</v>
      </c>
      <c r="B590" t="s">
        <v>1992</v>
      </c>
      <c r="C590" s="46">
        <v>207610</v>
      </c>
      <c r="D590" s="46">
        <v>217842</v>
      </c>
      <c r="E590" s="46">
        <v>207276</v>
      </c>
      <c r="F590">
        <v>-4.6900000000000004</v>
      </c>
      <c r="G590">
        <v>0.16</v>
      </c>
      <c r="H590" s="46">
        <v>1792167</v>
      </c>
      <c r="I590" s="46">
        <v>1807520</v>
      </c>
      <c r="J590">
        <v>-0.84</v>
      </c>
      <c r="K590">
        <v>1</v>
      </c>
    </row>
    <row r="591" spans="1:11" customFormat="1" hidden="1">
      <c r="A591">
        <v>3211</v>
      </c>
      <c r="B591" t="s">
        <v>1991</v>
      </c>
      <c r="C591" s="46">
        <v>2015494</v>
      </c>
      <c r="D591" s="46">
        <v>2069519</v>
      </c>
      <c r="E591" s="46">
        <v>2148431</v>
      </c>
      <c r="F591">
        <v>-2.61</v>
      </c>
      <c r="G591">
        <v>-6.18</v>
      </c>
      <c r="H591" s="46">
        <v>17619854</v>
      </c>
      <c r="I591" s="46">
        <v>21189510</v>
      </c>
      <c r="J591">
        <v>-16.84</v>
      </c>
      <c r="K591">
        <v>1</v>
      </c>
    </row>
    <row r="592" spans="1:11" customFormat="1" hidden="1">
      <c r="A592">
        <v>3207</v>
      </c>
      <c r="B592" t="s">
        <v>299</v>
      </c>
      <c r="C592" s="46">
        <v>88782</v>
      </c>
      <c r="D592" s="46">
        <v>95722</v>
      </c>
      <c r="E592" s="46">
        <v>94836</v>
      </c>
      <c r="F592">
        <v>-7.25</v>
      </c>
      <c r="G592">
        <v>-6.38</v>
      </c>
      <c r="H592" s="46">
        <v>814660</v>
      </c>
      <c r="I592" s="46">
        <v>952101</v>
      </c>
      <c r="J592">
        <v>-14.43</v>
      </c>
      <c r="K592" s="242">
        <v>1</v>
      </c>
    </row>
    <row r="593" spans="1:11" customFormat="1" hidden="1">
      <c r="A593">
        <v>3206</v>
      </c>
      <c r="B593" t="s">
        <v>2022</v>
      </c>
      <c r="C593" s="46">
        <v>132229</v>
      </c>
      <c r="D593" s="46">
        <v>154257</v>
      </c>
      <c r="E593" s="46">
        <v>123830</v>
      </c>
      <c r="F593">
        <v>-14.28</v>
      </c>
      <c r="G593">
        <v>6.78</v>
      </c>
      <c r="H593" s="46">
        <v>1324520</v>
      </c>
      <c r="I593" s="46">
        <v>1133724</v>
      </c>
      <c r="J593">
        <v>16.82</v>
      </c>
      <c r="K593">
        <v>0</v>
      </c>
    </row>
    <row r="594" spans="1:11" customFormat="1">
      <c r="A594" s="62" t="str">
        <f>HYPERLINK("http://tw.stock.yahoo.com/q/ta?s=5301","5301")</f>
        <v>5301</v>
      </c>
      <c r="B594" s="62" t="str">
        <f>HYPERLINK("http://tw.stock.yahoo.com/d/s/earning_5301.html","寶得利")</f>
        <v>寶得利</v>
      </c>
      <c r="C594" s="46">
        <v>211297</v>
      </c>
      <c r="D594" s="46">
        <v>173207</v>
      </c>
      <c r="E594" s="46">
        <v>182399</v>
      </c>
      <c r="F594">
        <v>21.99</v>
      </c>
      <c r="G594">
        <v>15.84</v>
      </c>
      <c r="H594" s="46">
        <v>1908445</v>
      </c>
      <c r="I594" s="46">
        <v>1495452</v>
      </c>
      <c r="J594">
        <v>27.61</v>
      </c>
      <c r="K594" s="242">
        <v>1</v>
      </c>
    </row>
    <row r="595" spans="1:11" customFormat="1" hidden="1">
      <c r="A595">
        <v>3202</v>
      </c>
      <c r="B595" t="s">
        <v>2189</v>
      </c>
      <c r="C595" s="46">
        <v>219803</v>
      </c>
      <c r="D595" s="46">
        <v>244558</v>
      </c>
      <c r="E595" s="46">
        <v>184253</v>
      </c>
      <c r="F595">
        <v>-10.119999999999999</v>
      </c>
      <c r="G595">
        <v>19.29</v>
      </c>
      <c r="H595" s="46">
        <v>1874437</v>
      </c>
      <c r="I595" s="46">
        <v>1838920</v>
      </c>
      <c r="J595">
        <v>1.93</v>
      </c>
      <c r="K595" s="242">
        <v>1</v>
      </c>
    </row>
    <row r="596" spans="1:11" customFormat="1" hidden="1">
      <c r="A596">
        <v>3191</v>
      </c>
      <c r="B596" t="s">
        <v>1486</v>
      </c>
      <c r="C596" s="46">
        <v>46033</v>
      </c>
      <c r="D596" s="46">
        <v>54040</v>
      </c>
      <c r="E596" s="46">
        <v>47251</v>
      </c>
      <c r="F596">
        <v>-14.81</v>
      </c>
      <c r="G596">
        <v>-2.57</v>
      </c>
      <c r="H596" s="46">
        <v>605590</v>
      </c>
      <c r="I596" s="46">
        <v>573801</v>
      </c>
      <c r="J596">
        <v>5.54</v>
      </c>
      <c r="K596">
        <v>0</v>
      </c>
    </row>
    <row r="597" spans="1:11" customFormat="1" hidden="1">
      <c r="A597">
        <v>3188</v>
      </c>
      <c r="B597" t="s">
        <v>297</v>
      </c>
      <c r="C597" s="46">
        <v>17808</v>
      </c>
      <c r="D597" s="46">
        <v>19120</v>
      </c>
      <c r="E597" s="46">
        <v>18833</v>
      </c>
      <c r="F597">
        <v>-6.86</v>
      </c>
      <c r="G597">
        <v>-5.44</v>
      </c>
      <c r="H597" s="46">
        <v>157669</v>
      </c>
      <c r="I597" s="46">
        <v>217472</v>
      </c>
      <c r="J597">
        <v>-27.49</v>
      </c>
      <c r="K597" s="242">
        <v>1</v>
      </c>
    </row>
    <row r="598" spans="1:11" customFormat="1" hidden="1">
      <c r="A598">
        <v>3176</v>
      </c>
      <c r="B598" t="s">
        <v>296</v>
      </c>
      <c r="C598" s="46">
        <v>29596</v>
      </c>
      <c r="D598" s="46">
        <v>32341</v>
      </c>
      <c r="E598" s="46">
        <v>38378</v>
      </c>
      <c r="F598">
        <v>-8.48</v>
      </c>
      <c r="G598">
        <v>-22.88</v>
      </c>
      <c r="H598" s="46">
        <v>301610</v>
      </c>
      <c r="I598" s="46">
        <v>312167</v>
      </c>
      <c r="J598">
        <v>-3.38</v>
      </c>
      <c r="K598">
        <v>0</v>
      </c>
    </row>
    <row r="599" spans="1:11" customFormat="1" hidden="1">
      <c r="A599">
        <v>3171</v>
      </c>
      <c r="B599" t="s">
        <v>2086</v>
      </c>
      <c r="C599" s="46">
        <v>141505</v>
      </c>
      <c r="D599" s="46">
        <v>155164</v>
      </c>
      <c r="E599" s="46">
        <v>146028</v>
      </c>
      <c r="F599">
        <v>-8.8000000000000007</v>
      </c>
      <c r="G599">
        <v>-3.09</v>
      </c>
      <c r="H599" s="46">
        <v>1426269</v>
      </c>
      <c r="I599" s="46">
        <v>1452006</v>
      </c>
      <c r="J599">
        <v>-1.77</v>
      </c>
      <c r="K599">
        <v>0</v>
      </c>
    </row>
    <row r="600" spans="1:11" customFormat="1">
      <c r="A600" s="62" t="str">
        <f>HYPERLINK("http://tw.stock.yahoo.com/q/ta?s=6465","6465")</f>
        <v>6465</v>
      </c>
      <c r="B600" s="62" t="str">
        <f>HYPERLINK("http://tw.stock.yahoo.com/d/s/earning_6465.html","威潤")</f>
        <v>威潤</v>
      </c>
      <c r="C600" s="46">
        <v>36619</v>
      </c>
      <c r="D600" s="46">
        <v>29885</v>
      </c>
      <c r="E600" s="46">
        <v>31313</v>
      </c>
      <c r="F600">
        <v>22.53</v>
      </c>
      <c r="G600">
        <v>16.940000000000001</v>
      </c>
      <c r="H600" s="46">
        <v>249845</v>
      </c>
      <c r="I600" s="46">
        <v>198385</v>
      </c>
      <c r="J600">
        <v>25.93</v>
      </c>
      <c r="K600">
        <v>1</v>
      </c>
    </row>
    <row r="601" spans="1:11" customFormat="1" hidden="1">
      <c r="A601">
        <v>3163</v>
      </c>
      <c r="B601" t="s">
        <v>295</v>
      </c>
      <c r="C601" s="46">
        <v>170466</v>
      </c>
      <c r="D601" s="46">
        <v>163127</v>
      </c>
      <c r="E601" s="46">
        <v>133084</v>
      </c>
      <c r="F601">
        <v>4.49</v>
      </c>
      <c r="G601">
        <v>28.08</v>
      </c>
      <c r="H601" s="46">
        <v>1990758</v>
      </c>
      <c r="I601" s="46">
        <v>1549155</v>
      </c>
      <c r="J601">
        <v>28.5</v>
      </c>
      <c r="K601">
        <v>0</v>
      </c>
    </row>
    <row r="602" spans="1:11" customFormat="1" hidden="1">
      <c r="A602">
        <v>3162</v>
      </c>
      <c r="B602" t="s">
        <v>2100</v>
      </c>
      <c r="C602" s="46">
        <v>59167</v>
      </c>
      <c r="D602" s="46">
        <v>60409</v>
      </c>
      <c r="E602" s="46">
        <v>74088</v>
      </c>
      <c r="F602">
        <v>-2.0499999999999998</v>
      </c>
      <c r="G602">
        <v>-20.13</v>
      </c>
      <c r="H602" s="46">
        <v>657562</v>
      </c>
      <c r="I602" s="46">
        <v>661626</v>
      </c>
      <c r="J602">
        <v>-0.61</v>
      </c>
      <c r="K602">
        <v>0</v>
      </c>
    </row>
    <row r="603" spans="1:11" customFormat="1" hidden="1">
      <c r="A603">
        <v>3152</v>
      </c>
      <c r="B603" t="s">
        <v>2009</v>
      </c>
      <c r="C603" s="46">
        <v>170947</v>
      </c>
      <c r="D603" s="46">
        <v>166436</v>
      </c>
      <c r="E603" s="46">
        <v>114575</v>
      </c>
      <c r="F603">
        <v>2.71</v>
      </c>
      <c r="G603">
        <v>49.2</v>
      </c>
      <c r="H603" s="46">
        <v>1424822</v>
      </c>
      <c r="I603" s="46">
        <v>1058627</v>
      </c>
      <c r="J603">
        <v>34.590000000000003</v>
      </c>
      <c r="K603">
        <v>1</v>
      </c>
    </row>
    <row r="604" spans="1:11" customFormat="1" hidden="1">
      <c r="A604">
        <v>3144</v>
      </c>
      <c r="B604" t="s">
        <v>294</v>
      </c>
      <c r="C604" s="46">
        <v>183507</v>
      </c>
      <c r="D604" s="46">
        <v>203491</v>
      </c>
      <c r="E604" s="46">
        <v>184590</v>
      </c>
      <c r="F604">
        <v>-9.82</v>
      </c>
      <c r="G604">
        <v>-0.57999999999999996</v>
      </c>
      <c r="H604" s="46">
        <v>1685858</v>
      </c>
      <c r="I604" s="46">
        <v>1645685</v>
      </c>
      <c r="J604">
        <v>2.44</v>
      </c>
      <c r="K604" s="242">
        <v>1</v>
      </c>
    </row>
    <row r="605" spans="1:11" customFormat="1" hidden="1">
      <c r="A605">
        <v>3141</v>
      </c>
      <c r="B605" t="s">
        <v>293</v>
      </c>
      <c r="C605" s="46">
        <v>97917</v>
      </c>
      <c r="D605" s="46">
        <v>94957</v>
      </c>
      <c r="E605" s="46">
        <v>88336</v>
      </c>
      <c r="F605">
        <v>3.11</v>
      </c>
      <c r="G605">
        <v>10.84</v>
      </c>
      <c r="H605" s="46">
        <v>897873</v>
      </c>
      <c r="I605" s="46">
        <v>845028</v>
      </c>
      <c r="J605">
        <v>6.25</v>
      </c>
      <c r="K605">
        <v>1</v>
      </c>
    </row>
    <row r="606" spans="1:11" customFormat="1">
      <c r="A606" s="62" t="str">
        <f>HYPERLINK("http://tw.stock.yahoo.com/q/ta?s=3131","3131")</f>
        <v>3131</v>
      </c>
      <c r="B606" s="62" t="str">
        <f>HYPERLINK("http://tw.stock.yahoo.com/d/s/earning_3131.html","弘塑科技")</f>
        <v>弘塑科技</v>
      </c>
      <c r="C606" s="46">
        <v>181224</v>
      </c>
      <c r="D606" s="46">
        <v>145131</v>
      </c>
      <c r="E606" s="46">
        <v>159435</v>
      </c>
      <c r="F606">
        <v>24.86</v>
      </c>
      <c r="G606">
        <v>13.66</v>
      </c>
      <c r="H606" s="46">
        <v>1501220</v>
      </c>
      <c r="I606" s="46">
        <v>1197990</v>
      </c>
      <c r="J606">
        <v>25.31</v>
      </c>
      <c r="K606">
        <v>1</v>
      </c>
    </row>
    <row r="607" spans="1:11" customFormat="1" hidden="1">
      <c r="A607">
        <v>3128</v>
      </c>
      <c r="B607" t="s">
        <v>2164</v>
      </c>
      <c r="C607" s="46">
        <v>61481</v>
      </c>
      <c r="D607" s="46">
        <v>61825</v>
      </c>
      <c r="E607" s="46">
        <v>50119</v>
      </c>
      <c r="F607">
        <v>-0.55000000000000004</v>
      </c>
      <c r="G607">
        <v>22.67</v>
      </c>
      <c r="H607" s="46">
        <v>607901</v>
      </c>
      <c r="I607" s="46">
        <v>643559</v>
      </c>
      <c r="J607">
        <v>-5.54</v>
      </c>
      <c r="K607">
        <v>0</v>
      </c>
    </row>
    <row r="608" spans="1:11" customFormat="1" hidden="1">
      <c r="A608">
        <v>3126</v>
      </c>
      <c r="B608" t="s">
        <v>2148</v>
      </c>
      <c r="C608" s="46">
        <v>6000</v>
      </c>
      <c r="D608" s="46">
        <v>9923</v>
      </c>
      <c r="E608" s="46">
        <v>28208</v>
      </c>
      <c r="F608">
        <v>-39.53</v>
      </c>
      <c r="G608">
        <v>-78.72</v>
      </c>
      <c r="H608" s="46">
        <v>2158099</v>
      </c>
      <c r="I608" s="46">
        <v>586262</v>
      </c>
      <c r="J608">
        <v>268.11</v>
      </c>
      <c r="K608">
        <v>0</v>
      </c>
    </row>
    <row r="609" spans="1:11" customFormat="1" hidden="1">
      <c r="A609">
        <v>3122</v>
      </c>
      <c r="B609" t="s">
        <v>2140</v>
      </c>
      <c r="C609" s="46">
        <v>59161</v>
      </c>
      <c r="D609" s="46">
        <v>43281</v>
      </c>
      <c r="E609" s="46">
        <v>49623</v>
      </c>
      <c r="F609">
        <v>36.69</v>
      </c>
      <c r="G609">
        <v>19.22</v>
      </c>
      <c r="H609" s="46">
        <v>450705</v>
      </c>
      <c r="I609" s="46">
        <v>444497</v>
      </c>
      <c r="J609">
        <v>1.39</v>
      </c>
      <c r="K609">
        <v>1</v>
      </c>
    </row>
    <row r="610" spans="1:11" customFormat="1" hidden="1">
      <c r="A610">
        <v>3118</v>
      </c>
      <c r="B610" t="s">
        <v>1947</v>
      </c>
      <c r="C610" s="46">
        <v>43775</v>
      </c>
      <c r="D610" s="46">
        <v>48615</v>
      </c>
      <c r="E610" s="46">
        <v>42498</v>
      </c>
      <c r="F610">
        <v>-9.9499999999999993</v>
      </c>
      <c r="G610">
        <v>3</v>
      </c>
      <c r="H610" s="46">
        <v>425194</v>
      </c>
      <c r="I610" s="46">
        <v>416792</v>
      </c>
      <c r="J610">
        <v>2.0099999999999998</v>
      </c>
      <c r="K610" s="242">
        <v>0</v>
      </c>
    </row>
    <row r="611" spans="1:11" customFormat="1">
      <c r="A611" s="62" t="str">
        <f>HYPERLINK("http://tw.stock.yahoo.com/q/ta?s=6217","6217")</f>
        <v>6217</v>
      </c>
      <c r="B611" s="62" t="str">
        <f>HYPERLINK("http://tw.stock.yahoo.com/d/s/earning_6217.html","中國探針")</f>
        <v>中國探針</v>
      </c>
      <c r="C611" s="46">
        <v>182608</v>
      </c>
      <c r="D611" s="46">
        <v>155316</v>
      </c>
      <c r="E611" s="46">
        <v>130950</v>
      </c>
      <c r="F611">
        <v>17.57</v>
      </c>
      <c r="G611">
        <v>39.44</v>
      </c>
      <c r="H611" s="46">
        <v>1433574</v>
      </c>
      <c r="I611" s="46">
        <v>1149443</v>
      </c>
      <c r="J611">
        <v>24.71</v>
      </c>
      <c r="K611">
        <v>1</v>
      </c>
    </row>
    <row r="612" spans="1:11" customFormat="1" hidden="1">
      <c r="A612">
        <v>3114</v>
      </c>
      <c r="B612" t="s">
        <v>2188</v>
      </c>
      <c r="C612" s="46">
        <v>162809</v>
      </c>
      <c r="D612" s="46">
        <v>209142</v>
      </c>
      <c r="E612" s="46">
        <v>157333</v>
      </c>
      <c r="F612">
        <v>-22.15</v>
      </c>
      <c r="G612">
        <v>3.48</v>
      </c>
      <c r="H612" s="46">
        <v>1628778</v>
      </c>
      <c r="I612" s="46">
        <v>1418446</v>
      </c>
      <c r="J612">
        <v>14.82</v>
      </c>
      <c r="K612">
        <v>0</v>
      </c>
    </row>
    <row r="613" spans="1:11" customFormat="1" hidden="1">
      <c r="A613">
        <v>3105</v>
      </c>
      <c r="B613" t="s">
        <v>292</v>
      </c>
      <c r="C613" s="46">
        <v>1048216</v>
      </c>
      <c r="D613" s="46">
        <v>1032788</v>
      </c>
      <c r="E613" s="46">
        <v>1017428</v>
      </c>
      <c r="F613">
        <v>1.49</v>
      </c>
      <c r="G613">
        <v>3.02</v>
      </c>
      <c r="H613" s="46">
        <v>9865949</v>
      </c>
      <c r="I613" s="46">
        <v>8214114</v>
      </c>
      <c r="J613">
        <v>20.100000000000001</v>
      </c>
      <c r="K613" s="242">
        <v>1</v>
      </c>
    </row>
    <row r="614" spans="1:11" customFormat="1" hidden="1">
      <c r="A614">
        <v>3095</v>
      </c>
      <c r="B614" t="s">
        <v>291</v>
      </c>
      <c r="C614" s="46">
        <v>332500</v>
      </c>
      <c r="D614" s="46">
        <v>351973</v>
      </c>
      <c r="E614" s="46">
        <v>533727</v>
      </c>
      <c r="F614">
        <v>-5.53</v>
      </c>
      <c r="G614">
        <v>-37.700000000000003</v>
      </c>
      <c r="H614" s="46">
        <v>3666622</v>
      </c>
      <c r="I614" s="46">
        <v>4051235</v>
      </c>
      <c r="J614">
        <v>-9.49</v>
      </c>
      <c r="K614">
        <v>0</v>
      </c>
    </row>
    <row r="615" spans="1:11" customFormat="1" hidden="1">
      <c r="A615">
        <v>3093</v>
      </c>
      <c r="B615" t="s">
        <v>290</v>
      </c>
      <c r="C615" s="46">
        <v>104783</v>
      </c>
      <c r="D615" s="46">
        <v>66051</v>
      </c>
      <c r="E615" s="46">
        <v>73683</v>
      </c>
      <c r="F615">
        <v>58.63</v>
      </c>
      <c r="G615">
        <v>42.2</v>
      </c>
      <c r="H615" s="46">
        <v>759659</v>
      </c>
      <c r="I615" s="46">
        <v>757633</v>
      </c>
      <c r="J615">
        <v>0.26</v>
      </c>
      <c r="K615">
        <v>1</v>
      </c>
    </row>
    <row r="616" spans="1:11" customFormat="1" hidden="1">
      <c r="A616">
        <v>3092</v>
      </c>
      <c r="B616" t="s">
        <v>289</v>
      </c>
      <c r="C616" s="46">
        <v>212273</v>
      </c>
      <c r="D616" s="46">
        <v>210016</v>
      </c>
      <c r="E616" s="46">
        <v>170584</v>
      </c>
      <c r="F616">
        <v>1.07</v>
      </c>
      <c r="G616">
        <v>24.43</v>
      </c>
      <c r="H616" s="46">
        <v>1886474</v>
      </c>
      <c r="I616" s="46">
        <v>1728471</v>
      </c>
      <c r="J616">
        <v>9.14</v>
      </c>
      <c r="K616" s="242">
        <v>1</v>
      </c>
    </row>
    <row r="617" spans="1:11" customFormat="1" hidden="1">
      <c r="A617">
        <v>3089</v>
      </c>
      <c r="B617" t="s">
        <v>288</v>
      </c>
      <c r="C617" s="46">
        <v>35396</v>
      </c>
      <c r="D617" s="46">
        <v>14625</v>
      </c>
      <c r="E617" s="46">
        <v>46785</v>
      </c>
      <c r="F617">
        <v>142.02000000000001</v>
      </c>
      <c r="G617">
        <v>-24.34</v>
      </c>
      <c r="H617" s="46">
        <v>260251</v>
      </c>
      <c r="I617" s="46">
        <v>441318</v>
      </c>
      <c r="J617">
        <v>-41.02</v>
      </c>
      <c r="K617" s="242">
        <v>1</v>
      </c>
    </row>
    <row r="618" spans="1:11" customFormat="1" hidden="1">
      <c r="A618">
        <v>3088</v>
      </c>
      <c r="B618" t="s">
        <v>287</v>
      </c>
      <c r="C618" s="46">
        <v>442973</v>
      </c>
      <c r="D618" s="46">
        <v>423189</v>
      </c>
      <c r="E618" s="46">
        <v>294804</v>
      </c>
      <c r="F618">
        <v>4.67</v>
      </c>
      <c r="G618">
        <v>50.26</v>
      </c>
      <c r="H618" s="46">
        <v>3845825</v>
      </c>
      <c r="I618" s="46">
        <v>3598027</v>
      </c>
      <c r="J618">
        <v>6.88</v>
      </c>
      <c r="K618">
        <v>1</v>
      </c>
    </row>
    <row r="619" spans="1:11" customFormat="1" hidden="1">
      <c r="A619">
        <v>3086</v>
      </c>
      <c r="B619" t="s">
        <v>2252</v>
      </c>
      <c r="C619" s="46">
        <v>37274</v>
      </c>
      <c r="D619" s="46">
        <v>29035</v>
      </c>
      <c r="E619" s="46">
        <v>26920</v>
      </c>
      <c r="F619">
        <v>28.37</v>
      </c>
      <c r="G619">
        <v>38.46</v>
      </c>
      <c r="H619" s="46">
        <v>365256</v>
      </c>
      <c r="I619" s="46">
        <v>409873</v>
      </c>
      <c r="J619">
        <v>-10.88</v>
      </c>
      <c r="K619" s="242">
        <v>0</v>
      </c>
    </row>
    <row r="620" spans="1:11" customFormat="1" hidden="1">
      <c r="A620">
        <v>3085</v>
      </c>
      <c r="B620" t="s">
        <v>286</v>
      </c>
      <c r="C620" s="46">
        <v>29952</v>
      </c>
      <c r="D620" s="46">
        <v>22368</v>
      </c>
      <c r="E620" s="46">
        <v>29337</v>
      </c>
      <c r="F620">
        <v>33.9</v>
      </c>
      <c r="G620">
        <v>2.09</v>
      </c>
      <c r="H620" s="46">
        <v>276506</v>
      </c>
      <c r="I620" s="46">
        <v>292237</v>
      </c>
      <c r="J620">
        <v>-5.38</v>
      </c>
      <c r="K620">
        <v>1</v>
      </c>
    </row>
    <row r="621" spans="1:11" customFormat="1" hidden="1">
      <c r="A621">
        <v>3083</v>
      </c>
      <c r="B621" t="s">
        <v>2251</v>
      </c>
      <c r="C621" s="46">
        <v>29686</v>
      </c>
      <c r="D621" s="46">
        <v>25976</v>
      </c>
      <c r="E621" s="46">
        <v>22428</v>
      </c>
      <c r="F621">
        <v>14.28</v>
      </c>
      <c r="G621">
        <v>32.36</v>
      </c>
      <c r="H621" s="46">
        <v>286214</v>
      </c>
      <c r="I621" s="46">
        <v>360910</v>
      </c>
      <c r="J621">
        <v>-20.69</v>
      </c>
      <c r="K621" s="242">
        <v>0</v>
      </c>
    </row>
    <row r="622" spans="1:11" customFormat="1">
      <c r="A622" s="62" t="str">
        <f>HYPERLINK("http://tw.stock.yahoo.com/q/ta?s=2221","2221")</f>
        <v>2221</v>
      </c>
      <c r="B622" s="62" t="str">
        <f>HYPERLINK("http://tw.stock.yahoo.com/d/s/earning_2221.html","大甲永和")</f>
        <v>大甲永和</v>
      </c>
      <c r="C622" s="46">
        <v>145270</v>
      </c>
      <c r="D622" s="46">
        <v>84864</v>
      </c>
      <c r="E622" s="46">
        <v>68673</v>
      </c>
      <c r="F622">
        <v>71.17</v>
      </c>
      <c r="G622">
        <v>111.53</v>
      </c>
      <c r="H622" s="46">
        <v>704600</v>
      </c>
      <c r="I622" s="46">
        <v>574183</v>
      </c>
      <c r="J622">
        <v>22.71</v>
      </c>
      <c r="K622">
        <v>1</v>
      </c>
    </row>
    <row r="623" spans="1:11" customFormat="1" hidden="1">
      <c r="A623">
        <v>3078</v>
      </c>
      <c r="B623" t="s">
        <v>2021</v>
      </c>
      <c r="C623" s="46">
        <v>651419</v>
      </c>
      <c r="D623" s="46">
        <v>635594</v>
      </c>
      <c r="E623" s="46">
        <v>526879</v>
      </c>
      <c r="F623">
        <v>2.48</v>
      </c>
      <c r="G623">
        <v>23.63</v>
      </c>
      <c r="H623" s="46">
        <v>4493317</v>
      </c>
      <c r="I623" s="46">
        <v>4793249</v>
      </c>
      <c r="J623">
        <v>-6.25</v>
      </c>
      <c r="K623" s="242">
        <v>1</v>
      </c>
    </row>
    <row r="624" spans="1:11" customFormat="1" hidden="1">
      <c r="A624">
        <v>3073</v>
      </c>
      <c r="B624" t="s">
        <v>1967</v>
      </c>
      <c r="C624" s="46">
        <v>3271</v>
      </c>
      <c r="D624" s="46">
        <v>2554</v>
      </c>
      <c r="E624" s="46">
        <v>5672</v>
      </c>
      <c r="F624">
        <v>28.07</v>
      </c>
      <c r="G624">
        <v>-42.33</v>
      </c>
      <c r="H624" s="46">
        <v>35381</v>
      </c>
      <c r="I624" s="46">
        <v>63951</v>
      </c>
      <c r="J624">
        <v>-44.67</v>
      </c>
      <c r="K624" s="242">
        <v>0</v>
      </c>
    </row>
    <row r="625" spans="1:11" customFormat="1" hidden="1">
      <c r="A625">
        <v>3071</v>
      </c>
      <c r="B625" t="s">
        <v>2147</v>
      </c>
      <c r="C625" s="46">
        <v>187522</v>
      </c>
      <c r="D625" s="46">
        <v>212170</v>
      </c>
      <c r="E625" s="46">
        <v>216771</v>
      </c>
      <c r="F625">
        <v>-11.61</v>
      </c>
      <c r="G625">
        <v>-13.49</v>
      </c>
      <c r="H625" s="46">
        <v>1981714</v>
      </c>
      <c r="I625" s="46">
        <v>2181520</v>
      </c>
      <c r="J625">
        <v>-9.15</v>
      </c>
      <c r="K625">
        <v>0</v>
      </c>
    </row>
    <row r="626" spans="1:11" customFormat="1" hidden="1">
      <c r="A626">
        <v>3068</v>
      </c>
      <c r="B626" t="s">
        <v>285</v>
      </c>
      <c r="C626" s="46">
        <v>242485</v>
      </c>
      <c r="D626" s="46">
        <v>243435</v>
      </c>
      <c r="E626" s="46">
        <v>233421</v>
      </c>
      <c r="F626">
        <v>-0.39</v>
      </c>
      <c r="G626">
        <v>3.88</v>
      </c>
      <c r="H626" s="46">
        <v>2219206</v>
      </c>
      <c r="I626" s="46">
        <v>2201551</v>
      </c>
      <c r="J626">
        <v>0.8</v>
      </c>
      <c r="K626">
        <v>1</v>
      </c>
    </row>
    <row r="627" spans="1:11" customFormat="1" hidden="1">
      <c r="A627">
        <v>3067</v>
      </c>
      <c r="B627" t="s">
        <v>284</v>
      </c>
      <c r="C627" s="46">
        <v>21360</v>
      </c>
      <c r="D627" s="46">
        <v>22722</v>
      </c>
      <c r="E627" s="46">
        <v>27829</v>
      </c>
      <c r="F627">
        <v>-5.99</v>
      </c>
      <c r="G627">
        <v>-23.24</v>
      </c>
      <c r="H627" s="46">
        <v>247067</v>
      </c>
      <c r="I627" s="46">
        <v>248693</v>
      </c>
      <c r="J627">
        <v>-0.65</v>
      </c>
      <c r="K627">
        <v>0</v>
      </c>
    </row>
    <row r="628" spans="1:11" customFormat="1" hidden="1">
      <c r="A628">
        <v>3066</v>
      </c>
      <c r="B628" t="s">
        <v>2105</v>
      </c>
      <c r="C628" s="46">
        <v>35568</v>
      </c>
      <c r="D628" s="46">
        <v>42737</v>
      </c>
      <c r="E628" s="46">
        <v>43917</v>
      </c>
      <c r="F628">
        <v>-16.77</v>
      </c>
      <c r="G628">
        <v>-19.010000000000002</v>
      </c>
      <c r="H628" s="46">
        <v>417791</v>
      </c>
      <c r="I628" s="46">
        <v>488764</v>
      </c>
      <c r="J628">
        <v>-14.52</v>
      </c>
      <c r="K628">
        <v>0</v>
      </c>
    </row>
    <row r="629" spans="1:11" customFormat="1" hidden="1">
      <c r="A629">
        <v>3064</v>
      </c>
      <c r="B629" t="s">
        <v>2250</v>
      </c>
      <c r="C629" s="46">
        <v>13257</v>
      </c>
      <c r="D629" s="46">
        <v>30560</v>
      </c>
      <c r="E629" s="46">
        <v>7967</v>
      </c>
      <c r="F629">
        <v>-56.61</v>
      </c>
      <c r="G629">
        <v>66.39</v>
      </c>
      <c r="H629" s="46">
        <v>114487</v>
      </c>
      <c r="I629" s="46">
        <v>132620</v>
      </c>
      <c r="J629">
        <v>-13.67</v>
      </c>
      <c r="K629" s="242">
        <v>1</v>
      </c>
    </row>
    <row r="630" spans="1:11" customFormat="1" hidden="1">
      <c r="A630">
        <v>2926</v>
      </c>
      <c r="B630" t="s">
        <v>1467</v>
      </c>
      <c r="C630" s="46">
        <v>401784</v>
      </c>
      <c r="D630" s="46">
        <v>283284</v>
      </c>
      <c r="E630" s="46">
        <v>319891</v>
      </c>
      <c r="F630">
        <v>41.83</v>
      </c>
      <c r="G630">
        <v>25.6</v>
      </c>
      <c r="H630" s="46">
        <v>3043135</v>
      </c>
      <c r="I630" s="46">
        <v>2893901</v>
      </c>
      <c r="J630">
        <v>5.15</v>
      </c>
      <c r="K630" s="242">
        <v>1</v>
      </c>
    </row>
    <row r="631" spans="1:11" customFormat="1" hidden="1">
      <c r="A631">
        <v>2916</v>
      </c>
      <c r="B631" t="s">
        <v>2085</v>
      </c>
      <c r="C631" s="46">
        <v>174025</v>
      </c>
      <c r="D631" s="46">
        <v>84633</v>
      </c>
      <c r="E631" s="46">
        <v>188356</v>
      </c>
      <c r="F631">
        <v>105.62</v>
      </c>
      <c r="G631">
        <v>-7.6</v>
      </c>
      <c r="H631" s="46">
        <v>1105011</v>
      </c>
      <c r="I631" s="46">
        <v>1062253</v>
      </c>
      <c r="J631">
        <v>4.0199999999999996</v>
      </c>
      <c r="K631">
        <v>1</v>
      </c>
    </row>
    <row r="632" spans="1:11" customFormat="1" hidden="1">
      <c r="A632">
        <v>2734</v>
      </c>
      <c r="B632" t="s">
        <v>283</v>
      </c>
      <c r="C632" s="46">
        <v>150063</v>
      </c>
      <c r="D632" s="46">
        <v>157874</v>
      </c>
      <c r="E632" s="46">
        <v>135757</v>
      </c>
      <c r="F632">
        <v>-4.9400000000000004</v>
      </c>
      <c r="G632">
        <v>10.53</v>
      </c>
      <c r="H632" s="46">
        <v>1541050</v>
      </c>
      <c r="I632" s="46">
        <v>1390443</v>
      </c>
      <c r="J632">
        <v>10.83</v>
      </c>
      <c r="K632">
        <v>0</v>
      </c>
    </row>
    <row r="633" spans="1:11" customFormat="1" hidden="1">
      <c r="A633">
        <v>2732</v>
      </c>
      <c r="B633" t="s">
        <v>2080</v>
      </c>
      <c r="C633" s="46">
        <v>151210</v>
      </c>
      <c r="D633" s="46">
        <v>151806</v>
      </c>
      <c r="E633" s="46">
        <v>145067</v>
      </c>
      <c r="F633">
        <v>-0.39</v>
      </c>
      <c r="G633">
        <v>4.2300000000000004</v>
      </c>
      <c r="H633" s="46">
        <v>1335903</v>
      </c>
      <c r="I633" s="46">
        <v>1112297</v>
      </c>
      <c r="J633">
        <v>20.100000000000001</v>
      </c>
      <c r="K633">
        <v>1</v>
      </c>
    </row>
    <row r="634" spans="1:11" customFormat="1" hidden="1">
      <c r="A634">
        <v>2729</v>
      </c>
      <c r="B634" t="s">
        <v>2079</v>
      </c>
      <c r="C634" s="46">
        <v>276436</v>
      </c>
      <c r="D634" s="46">
        <v>252147</v>
      </c>
      <c r="E634" s="46">
        <v>234765</v>
      </c>
      <c r="F634">
        <v>9.6300000000000008</v>
      </c>
      <c r="G634">
        <v>17.75</v>
      </c>
      <c r="H634" s="46">
        <v>2884811</v>
      </c>
      <c r="I634" s="46">
        <v>2435380</v>
      </c>
      <c r="J634">
        <v>18.45</v>
      </c>
      <c r="K634" s="242">
        <v>0</v>
      </c>
    </row>
    <row r="635" spans="1:11" customFormat="1" hidden="1">
      <c r="A635">
        <v>2719</v>
      </c>
      <c r="B635" t="s">
        <v>282</v>
      </c>
      <c r="C635" s="46">
        <v>212532</v>
      </c>
      <c r="D635" s="46">
        <v>198687</v>
      </c>
      <c r="E635" s="46">
        <v>242129</v>
      </c>
      <c r="F635">
        <v>6.96</v>
      </c>
      <c r="G635">
        <v>-12.22</v>
      </c>
      <c r="H635" s="46">
        <v>2660212</v>
      </c>
      <c r="I635" s="46">
        <v>2747279</v>
      </c>
      <c r="J635">
        <v>-3.16</v>
      </c>
      <c r="K635">
        <v>0</v>
      </c>
    </row>
    <row r="636" spans="1:11" customFormat="1" hidden="1">
      <c r="A636">
        <v>2718</v>
      </c>
      <c r="B636" t="s">
        <v>1893</v>
      </c>
      <c r="C636" s="46">
        <v>27944</v>
      </c>
      <c r="D636" s="46">
        <v>18437</v>
      </c>
      <c r="E636" s="46">
        <v>23811</v>
      </c>
      <c r="F636">
        <v>51.56</v>
      </c>
      <c r="G636">
        <v>17.350000000000001</v>
      </c>
      <c r="H636" s="46">
        <v>232010</v>
      </c>
      <c r="I636" s="46">
        <v>220828</v>
      </c>
      <c r="J636">
        <v>5.0599999999999996</v>
      </c>
      <c r="K636" s="242">
        <v>1</v>
      </c>
    </row>
    <row r="637" spans="1:11" customFormat="1" hidden="1">
      <c r="A637">
        <v>2641</v>
      </c>
      <c r="B637" t="s">
        <v>2076</v>
      </c>
      <c r="C637" s="46">
        <v>64571</v>
      </c>
      <c r="D637" s="46">
        <v>57994</v>
      </c>
      <c r="E637" s="46">
        <v>56508</v>
      </c>
      <c r="F637">
        <v>11.34</v>
      </c>
      <c r="G637">
        <v>14.26</v>
      </c>
      <c r="H637" s="46">
        <v>614702</v>
      </c>
      <c r="I637" s="46">
        <v>561292</v>
      </c>
      <c r="J637">
        <v>9.51</v>
      </c>
      <c r="K637">
        <v>1</v>
      </c>
    </row>
    <row r="638" spans="1:11" customFormat="1" hidden="1">
      <c r="A638">
        <v>2640</v>
      </c>
      <c r="B638" t="s">
        <v>1459</v>
      </c>
      <c r="C638" s="46">
        <v>143042</v>
      </c>
      <c r="D638" s="46">
        <v>134426</v>
      </c>
      <c r="E638" s="46">
        <v>143068</v>
      </c>
      <c r="F638">
        <v>6.4</v>
      </c>
      <c r="G638">
        <v>-0.01</v>
      </c>
      <c r="H638" s="46">
        <v>1350856</v>
      </c>
      <c r="I638" s="46">
        <v>1197827</v>
      </c>
      <c r="J638">
        <v>12.77</v>
      </c>
      <c r="K638">
        <v>1</v>
      </c>
    </row>
    <row r="639" spans="1:11" customFormat="1" hidden="1">
      <c r="A639">
        <v>2636</v>
      </c>
      <c r="B639" t="s">
        <v>2240</v>
      </c>
      <c r="C639" s="46">
        <v>820558</v>
      </c>
      <c r="D639" s="46">
        <v>755570</v>
      </c>
      <c r="E639" s="46">
        <v>805372</v>
      </c>
      <c r="F639">
        <v>8.6</v>
      </c>
      <c r="G639">
        <v>1.88</v>
      </c>
      <c r="H639" s="46">
        <v>8201167</v>
      </c>
      <c r="I639" s="46">
        <v>7823139</v>
      </c>
      <c r="J639">
        <v>4.83</v>
      </c>
      <c r="K639">
        <v>0</v>
      </c>
    </row>
    <row r="640" spans="1:11" customFormat="1" hidden="1">
      <c r="A640">
        <v>2596</v>
      </c>
      <c r="B640" t="s">
        <v>2236</v>
      </c>
      <c r="C640" s="46">
        <v>201</v>
      </c>
      <c r="D640" s="46">
        <v>71</v>
      </c>
      <c r="E640" s="46">
        <v>56563</v>
      </c>
      <c r="F640">
        <v>183.09</v>
      </c>
      <c r="G640">
        <v>-99.64</v>
      </c>
      <c r="H640" s="46">
        <v>289529</v>
      </c>
      <c r="I640" s="46">
        <v>689925</v>
      </c>
      <c r="J640">
        <v>-58.03</v>
      </c>
      <c r="K640" s="242">
        <v>0</v>
      </c>
    </row>
    <row r="641" spans="1:11" customFormat="1" hidden="1">
      <c r="A641">
        <v>2235</v>
      </c>
      <c r="B641" t="s">
        <v>280</v>
      </c>
      <c r="C641" s="46">
        <v>71924</v>
      </c>
      <c r="D641" s="46">
        <v>73233</v>
      </c>
      <c r="E641" s="46">
        <v>69040</v>
      </c>
      <c r="F641">
        <v>-1.78</v>
      </c>
      <c r="G641">
        <v>4.17</v>
      </c>
      <c r="H641" s="46">
        <v>731001</v>
      </c>
      <c r="I641" s="46">
        <v>703527</v>
      </c>
      <c r="J641">
        <v>3.9</v>
      </c>
      <c r="K641">
        <v>0</v>
      </c>
    </row>
    <row r="642" spans="1:11" customFormat="1" hidden="1">
      <c r="A642">
        <v>2233</v>
      </c>
      <c r="B642" t="s">
        <v>279</v>
      </c>
      <c r="C642" s="46">
        <v>168216</v>
      </c>
      <c r="D642" s="46">
        <v>150580</v>
      </c>
      <c r="E642" s="46">
        <v>144211</v>
      </c>
      <c r="F642">
        <v>11.71</v>
      </c>
      <c r="G642">
        <v>16.64</v>
      </c>
      <c r="H642" s="46">
        <v>1617225</v>
      </c>
      <c r="I642" s="46">
        <v>1655179</v>
      </c>
      <c r="J642">
        <v>-2.29</v>
      </c>
      <c r="K642">
        <v>0</v>
      </c>
    </row>
    <row r="643" spans="1:11" customFormat="1" hidden="1">
      <c r="A643">
        <v>2230</v>
      </c>
      <c r="B643" t="s">
        <v>278</v>
      </c>
      <c r="C643" s="46">
        <v>21824</v>
      </c>
      <c r="D643" s="46">
        <v>29212</v>
      </c>
      <c r="E643" s="46">
        <v>31535</v>
      </c>
      <c r="F643">
        <v>-25.29</v>
      </c>
      <c r="G643">
        <v>-30.79</v>
      </c>
      <c r="H643" s="46">
        <v>300390</v>
      </c>
      <c r="I643" s="46">
        <v>293265</v>
      </c>
      <c r="J643">
        <v>2.42</v>
      </c>
      <c r="K643">
        <v>0</v>
      </c>
    </row>
    <row r="644" spans="1:11" customFormat="1">
      <c r="A644" s="62" t="str">
        <f>HYPERLINK("http://tw.stock.yahoo.com/q/ta?s=8433","8433")</f>
        <v>8433</v>
      </c>
      <c r="B644" s="62" t="str">
        <f>HYPERLINK("http://tw.stock.yahoo.com/d/s/earning_8433.html","弘帆")</f>
        <v>弘帆</v>
      </c>
      <c r="C644" s="46">
        <v>237118</v>
      </c>
      <c r="D644" s="46">
        <v>205525</v>
      </c>
      <c r="E644" s="46">
        <v>180297</v>
      </c>
      <c r="F644">
        <v>15.37</v>
      </c>
      <c r="G644">
        <v>31.51</v>
      </c>
      <c r="H644" s="46">
        <v>2046254</v>
      </c>
      <c r="I644" s="46">
        <v>1676718</v>
      </c>
      <c r="J644">
        <v>22.03</v>
      </c>
      <c r="K644">
        <v>1</v>
      </c>
    </row>
    <row r="645" spans="1:11" customFormat="1" hidden="1">
      <c r="A645">
        <v>2067</v>
      </c>
      <c r="B645" t="s">
        <v>1455</v>
      </c>
      <c r="C645" s="46">
        <v>66302</v>
      </c>
      <c r="D645" s="46">
        <v>74894</v>
      </c>
      <c r="E645" s="46">
        <v>82984</v>
      </c>
      <c r="F645">
        <v>-11.47</v>
      </c>
      <c r="G645">
        <v>-20.100000000000001</v>
      </c>
      <c r="H645" s="46">
        <v>676804</v>
      </c>
      <c r="I645" s="46">
        <v>990449</v>
      </c>
      <c r="J645">
        <v>-31.66</v>
      </c>
      <c r="K645">
        <v>0</v>
      </c>
    </row>
    <row r="646" spans="1:11" customFormat="1" hidden="1">
      <c r="A646">
        <v>2066</v>
      </c>
      <c r="B646" t="s">
        <v>277</v>
      </c>
      <c r="C646" s="46">
        <v>108195</v>
      </c>
      <c r="D646" s="46">
        <v>111559</v>
      </c>
      <c r="E646" s="46">
        <v>104357</v>
      </c>
      <c r="F646">
        <v>-3.01</v>
      </c>
      <c r="G646">
        <v>3.67</v>
      </c>
      <c r="H646" s="46">
        <v>1083658</v>
      </c>
      <c r="I646" s="46">
        <v>1048893</v>
      </c>
      <c r="J646">
        <v>3.31</v>
      </c>
      <c r="K646">
        <v>0</v>
      </c>
    </row>
    <row r="647" spans="1:11" customFormat="1" hidden="1">
      <c r="A647">
        <v>2064</v>
      </c>
      <c r="B647" t="s">
        <v>276</v>
      </c>
      <c r="C647" s="46">
        <v>192689</v>
      </c>
      <c r="D647" s="46">
        <v>141925</v>
      </c>
      <c r="E647" s="46">
        <v>255272</v>
      </c>
      <c r="F647">
        <v>35.76</v>
      </c>
      <c r="G647">
        <v>-24.51</v>
      </c>
      <c r="H647" s="46">
        <v>1957097</v>
      </c>
      <c r="I647" s="46">
        <v>2346766</v>
      </c>
      <c r="J647">
        <v>-16.600000000000001</v>
      </c>
      <c r="K647">
        <v>0</v>
      </c>
    </row>
    <row r="648" spans="1:11" customFormat="1" hidden="1">
      <c r="A648">
        <v>2063</v>
      </c>
      <c r="B648" t="s">
        <v>275</v>
      </c>
      <c r="C648" s="46">
        <v>64692</v>
      </c>
      <c r="D648" s="46">
        <v>52511</v>
      </c>
      <c r="E648" s="46">
        <v>68610</v>
      </c>
      <c r="F648">
        <v>23.19</v>
      </c>
      <c r="G648">
        <v>-5.71</v>
      </c>
      <c r="H648" s="46">
        <v>549568</v>
      </c>
      <c r="I648" s="46">
        <v>599626</v>
      </c>
      <c r="J648">
        <v>-8.34</v>
      </c>
      <c r="K648">
        <v>1</v>
      </c>
    </row>
    <row r="649" spans="1:11" customFormat="1" hidden="1">
      <c r="A649">
        <v>2061</v>
      </c>
      <c r="B649" t="s">
        <v>274</v>
      </c>
      <c r="C649" s="46">
        <v>100925</v>
      </c>
      <c r="D649" s="46">
        <v>73650</v>
      </c>
      <c r="E649" s="46">
        <v>87805</v>
      </c>
      <c r="F649">
        <v>37.03</v>
      </c>
      <c r="G649">
        <v>14.94</v>
      </c>
      <c r="H649" s="46">
        <v>908486</v>
      </c>
      <c r="I649" s="46">
        <v>1071552</v>
      </c>
      <c r="J649">
        <v>-15.21</v>
      </c>
      <c r="K649">
        <v>1</v>
      </c>
    </row>
    <row r="650" spans="1:11" customFormat="1" hidden="1">
      <c r="A650">
        <v>2035</v>
      </c>
      <c r="B650" t="s">
        <v>1964</v>
      </c>
      <c r="C650" s="46">
        <v>1089319</v>
      </c>
      <c r="D650" s="46">
        <v>1084122</v>
      </c>
      <c r="E650" s="46">
        <v>1253461</v>
      </c>
      <c r="F650">
        <v>0.47</v>
      </c>
      <c r="G650">
        <v>-13.09</v>
      </c>
      <c r="H650" s="46">
        <v>12895490</v>
      </c>
      <c r="I650" s="46">
        <v>18249365</v>
      </c>
      <c r="J650">
        <v>-29.33</v>
      </c>
      <c r="K650">
        <v>0</v>
      </c>
    </row>
    <row r="651" spans="1:11" customFormat="1" hidden="1">
      <c r="A651">
        <v>1815</v>
      </c>
      <c r="B651" t="s">
        <v>2020</v>
      </c>
      <c r="C651" s="46">
        <v>404993</v>
      </c>
      <c r="D651" s="46">
        <v>390110</v>
      </c>
      <c r="E651" s="46">
        <v>411432</v>
      </c>
      <c r="F651">
        <v>3.81</v>
      </c>
      <c r="G651">
        <v>-1.56</v>
      </c>
      <c r="H651" s="46">
        <v>4098267</v>
      </c>
      <c r="I651" s="46">
        <v>3877175</v>
      </c>
      <c r="J651">
        <v>5.7</v>
      </c>
      <c r="K651">
        <v>0</v>
      </c>
    </row>
    <row r="652" spans="1:11" customFormat="1" hidden="1">
      <c r="A652">
        <v>1813</v>
      </c>
      <c r="B652" t="s">
        <v>273</v>
      </c>
      <c r="C652" s="46">
        <v>34389</v>
      </c>
      <c r="D652" s="46">
        <v>29928</v>
      </c>
      <c r="E652" s="46">
        <v>28621</v>
      </c>
      <c r="F652">
        <v>14.9</v>
      </c>
      <c r="G652">
        <v>20.149999999999999</v>
      </c>
      <c r="H652" s="46">
        <v>338162</v>
      </c>
      <c r="I652" s="46">
        <v>320402</v>
      </c>
      <c r="J652">
        <v>5.54</v>
      </c>
      <c r="K652">
        <v>0</v>
      </c>
    </row>
    <row r="653" spans="1:11" customFormat="1" hidden="1">
      <c r="A653">
        <v>1799</v>
      </c>
      <c r="B653" t="s">
        <v>272</v>
      </c>
      <c r="C653" s="46">
        <v>22300</v>
      </c>
      <c r="D653" s="46">
        <v>20355</v>
      </c>
      <c r="E653" s="46">
        <v>24665</v>
      </c>
      <c r="F653">
        <v>9.5500000000000007</v>
      </c>
      <c r="G653">
        <v>-9.58</v>
      </c>
      <c r="H653" s="46">
        <v>397672</v>
      </c>
      <c r="I653" s="46">
        <v>97606</v>
      </c>
      <c r="J653">
        <v>307.42</v>
      </c>
      <c r="K653" s="242">
        <v>0</v>
      </c>
    </row>
    <row r="654" spans="1:11" customFormat="1" hidden="1">
      <c r="A654">
        <v>1795</v>
      </c>
      <c r="B654" t="s">
        <v>2102</v>
      </c>
      <c r="C654" s="46">
        <v>453161</v>
      </c>
      <c r="D654" s="46">
        <v>460303</v>
      </c>
      <c r="E654" s="46">
        <v>184525</v>
      </c>
      <c r="F654" s="233">
        <v>-1.55</v>
      </c>
      <c r="G654">
        <v>145.58000000000001</v>
      </c>
      <c r="H654" s="46">
        <v>4499814</v>
      </c>
      <c r="I654" s="46">
        <v>1833648</v>
      </c>
      <c r="J654">
        <v>145.4</v>
      </c>
      <c r="K654">
        <v>0</v>
      </c>
    </row>
    <row r="655" spans="1:11" customFormat="1" hidden="1">
      <c r="A655">
        <v>1788</v>
      </c>
      <c r="B655" t="s">
        <v>1946</v>
      </c>
      <c r="C655" s="46">
        <v>242047</v>
      </c>
      <c r="D655" s="46">
        <v>234133</v>
      </c>
      <c r="E655" s="46">
        <v>219060</v>
      </c>
      <c r="F655">
        <v>3.38</v>
      </c>
      <c r="G655">
        <v>10.49</v>
      </c>
      <c r="H655" s="46">
        <v>2236311</v>
      </c>
      <c r="I655" s="46">
        <v>2218914</v>
      </c>
      <c r="J655">
        <v>0.78</v>
      </c>
      <c r="K655">
        <v>1</v>
      </c>
    </row>
    <row r="656" spans="1:11" customFormat="1" hidden="1">
      <c r="A656">
        <v>1787</v>
      </c>
      <c r="B656" t="s">
        <v>271</v>
      </c>
      <c r="C656" s="46">
        <v>126890</v>
      </c>
      <c r="D656" s="46">
        <v>135477</v>
      </c>
      <c r="E656" s="46">
        <v>115104</v>
      </c>
      <c r="F656">
        <v>-6.33</v>
      </c>
      <c r="G656">
        <v>10.23</v>
      </c>
      <c r="H656" s="46">
        <v>1215599</v>
      </c>
      <c r="I656" s="46">
        <v>1145606</v>
      </c>
      <c r="J656">
        <v>6.1</v>
      </c>
      <c r="K656">
        <v>0</v>
      </c>
    </row>
    <row r="657" spans="1:11" customFormat="1" hidden="1">
      <c r="A657">
        <v>1785</v>
      </c>
      <c r="B657" t="s">
        <v>1450</v>
      </c>
      <c r="C657" s="46">
        <v>2798014</v>
      </c>
      <c r="D657" s="46">
        <v>5752873</v>
      </c>
      <c r="E657" s="46">
        <v>4077892</v>
      </c>
      <c r="F657">
        <v>-51.36</v>
      </c>
      <c r="G657">
        <v>-31.38</v>
      </c>
      <c r="H657" s="46">
        <v>53982948</v>
      </c>
      <c r="I657" s="46">
        <v>41032906</v>
      </c>
      <c r="J657">
        <v>31.56</v>
      </c>
      <c r="K657">
        <v>0</v>
      </c>
    </row>
    <row r="658" spans="1:11" customFormat="1" hidden="1">
      <c r="A658">
        <v>1784</v>
      </c>
      <c r="B658" t="s">
        <v>2130</v>
      </c>
      <c r="C658" s="46">
        <v>58641</v>
      </c>
      <c r="D658" s="46">
        <v>54328</v>
      </c>
      <c r="E658" s="46">
        <v>56491</v>
      </c>
      <c r="F658">
        <v>7.93</v>
      </c>
      <c r="G658">
        <v>3.8</v>
      </c>
      <c r="H658" s="46">
        <v>527941</v>
      </c>
      <c r="I658" s="46">
        <v>526410</v>
      </c>
      <c r="J658">
        <v>0.28999999999999998</v>
      </c>
      <c r="K658">
        <v>1</v>
      </c>
    </row>
    <row r="659" spans="1:11" customFormat="1" hidden="1">
      <c r="A659">
        <v>1781</v>
      </c>
      <c r="B659" t="s">
        <v>1945</v>
      </c>
      <c r="C659" s="46">
        <v>39526</v>
      </c>
      <c r="D659" s="46">
        <v>83333</v>
      </c>
      <c r="E659" s="46">
        <v>55421</v>
      </c>
      <c r="F659">
        <v>-52.56</v>
      </c>
      <c r="G659">
        <v>-28.68</v>
      </c>
      <c r="H659" s="46">
        <v>607769</v>
      </c>
      <c r="I659" s="46">
        <v>533878</v>
      </c>
      <c r="J659">
        <v>13.84</v>
      </c>
      <c r="K659">
        <v>0</v>
      </c>
    </row>
    <row r="660" spans="1:11" customFormat="1" hidden="1">
      <c r="A660">
        <v>1777</v>
      </c>
      <c r="B660" t="s">
        <v>270</v>
      </c>
      <c r="C660" s="46">
        <v>54326</v>
      </c>
      <c r="D660" s="46">
        <v>57973</v>
      </c>
      <c r="E660" s="46">
        <v>50696</v>
      </c>
      <c r="F660">
        <v>-6.29</v>
      </c>
      <c r="G660">
        <v>7.16</v>
      </c>
      <c r="H660" s="46">
        <v>557478</v>
      </c>
      <c r="I660" s="46">
        <v>511658</v>
      </c>
      <c r="J660">
        <v>8.9499999999999993</v>
      </c>
      <c r="K660">
        <v>0</v>
      </c>
    </row>
    <row r="661" spans="1:11" customFormat="1" hidden="1">
      <c r="A661">
        <v>1752</v>
      </c>
      <c r="B661" t="s">
        <v>269</v>
      </c>
      <c r="C661" s="46">
        <v>131672</v>
      </c>
      <c r="D661" s="46">
        <v>111269</v>
      </c>
      <c r="E661" s="46">
        <v>119411</v>
      </c>
      <c r="F661">
        <v>18.329999999999998</v>
      </c>
      <c r="G661">
        <v>10.26</v>
      </c>
      <c r="H661" s="46">
        <v>1240864</v>
      </c>
      <c r="I661" s="46">
        <v>1037286</v>
      </c>
      <c r="J661">
        <v>19.62</v>
      </c>
      <c r="K661">
        <v>1</v>
      </c>
    </row>
    <row r="662" spans="1:11" customFormat="1" hidden="1">
      <c r="A662">
        <v>1742</v>
      </c>
      <c r="B662" t="s">
        <v>539</v>
      </c>
      <c r="C662" s="46">
        <v>48202</v>
      </c>
      <c r="D662" s="46">
        <v>62294</v>
      </c>
      <c r="E662" s="46">
        <v>76413</v>
      </c>
      <c r="F662">
        <v>-22.62</v>
      </c>
      <c r="G662">
        <v>-36.909999999999997</v>
      </c>
      <c r="H662" s="46">
        <v>526988</v>
      </c>
      <c r="I662" s="46">
        <v>1089881</v>
      </c>
      <c r="J662">
        <v>-51.64</v>
      </c>
      <c r="K662">
        <v>0</v>
      </c>
    </row>
    <row r="663" spans="1:11" customFormat="1">
      <c r="A663" s="62" t="str">
        <f>HYPERLINK("http://tw.stock.yahoo.com/q/ta?s=4160","4160")</f>
        <v>4160</v>
      </c>
      <c r="B663" s="62" t="str">
        <f>HYPERLINK("http://tw.stock.yahoo.com/d/s/earning_4160.html","創源生技")</f>
        <v>創源生技</v>
      </c>
      <c r="C663" s="46">
        <v>27501</v>
      </c>
      <c r="D663" s="46">
        <v>22211</v>
      </c>
      <c r="E663" s="46">
        <v>17101</v>
      </c>
      <c r="F663">
        <v>23.81</v>
      </c>
      <c r="G663">
        <v>60.81</v>
      </c>
      <c r="H663" s="46">
        <v>221939</v>
      </c>
      <c r="I663" s="46">
        <v>182089</v>
      </c>
      <c r="J663">
        <v>21.88</v>
      </c>
      <c r="K663">
        <v>1</v>
      </c>
    </row>
    <row r="664" spans="1:11" customFormat="1" hidden="1">
      <c r="A664">
        <v>1597</v>
      </c>
      <c r="B664" t="s">
        <v>268</v>
      </c>
      <c r="C664" s="46">
        <v>73239</v>
      </c>
      <c r="D664" s="46">
        <v>82773</v>
      </c>
      <c r="E664" s="46">
        <v>72115</v>
      </c>
      <c r="F664">
        <v>-11.51</v>
      </c>
      <c r="G664">
        <v>1.55</v>
      </c>
      <c r="H664" s="46">
        <v>839712</v>
      </c>
      <c r="I664" s="46">
        <v>850285</v>
      </c>
      <c r="J664">
        <v>-1.24</v>
      </c>
      <c r="K664">
        <v>0</v>
      </c>
    </row>
    <row r="665" spans="1:11" customFormat="1" hidden="1">
      <c r="A665">
        <v>1595</v>
      </c>
      <c r="B665" t="s">
        <v>2019</v>
      </c>
      <c r="C665" s="46">
        <v>39936</v>
      </c>
      <c r="D665" s="46">
        <v>77604</v>
      </c>
      <c r="E665" s="46">
        <v>74202</v>
      </c>
      <c r="F665" s="233">
        <v>-48.53</v>
      </c>
      <c r="G665">
        <v>-46.17</v>
      </c>
      <c r="H665" s="46">
        <v>985572</v>
      </c>
      <c r="I665" s="46">
        <v>1170071</v>
      </c>
      <c r="J665">
        <v>-15.76</v>
      </c>
      <c r="K665" s="242">
        <v>0</v>
      </c>
    </row>
    <row r="666" spans="1:11" customFormat="1" hidden="1">
      <c r="A666">
        <v>1593</v>
      </c>
      <c r="B666" t="s">
        <v>267</v>
      </c>
      <c r="C666" s="46">
        <v>74384</v>
      </c>
      <c r="D666" s="46">
        <v>71216</v>
      </c>
      <c r="E666" s="46">
        <v>85292</v>
      </c>
      <c r="F666">
        <v>4.4400000000000004</v>
      </c>
      <c r="G666">
        <v>-12.78</v>
      </c>
      <c r="H666" s="46">
        <v>696945</v>
      </c>
      <c r="I666" s="46">
        <v>746726</v>
      </c>
      <c r="J666">
        <v>-6.66</v>
      </c>
      <c r="K666">
        <v>1</v>
      </c>
    </row>
    <row r="667" spans="1:11" customFormat="1" hidden="1">
      <c r="A667">
        <v>1586</v>
      </c>
      <c r="B667" t="s">
        <v>2120</v>
      </c>
      <c r="C667" s="46">
        <v>141730</v>
      </c>
      <c r="D667" s="46">
        <v>120813</v>
      </c>
      <c r="E667" s="46">
        <v>150874</v>
      </c>
      <c r="F667">
        <v>17.309999999999999</v>
      </c>
      <c r="G667">
        <v>-6.06</v>
      </c>
      <c r="H667" s="46">
        <v>1344128</v>
      </c>
      <c r="I667" s="46">
        <v>1365621</v>
      </c>
      <c r="J667">
        <v>-1.57</v>
      </c>
      <c r="K667">
        <v>1</v>
      </c>
    </row>
    <row r="668" spans="1:11" customFormat="1" hidden="1">
      <c r="A668">
        <v>1584</v>
      </c>
      <c r="B668" t="s">
        <v>2243</v>
      </c>
      <c r="C668" s="46">
        <v>43143</v>
      </c>
      <c r="D668" s="46">
        <v>51693</v>
      </c>
      <c r="E668" s="46">
        <v>80012</v>
      </c>
      <c r="F668">
        <v>-16.53</v>
      </c>
      <c r="G668">
        <v>-46.07</v>
      </c>
      <c r="H668" s="46">
        <v>861821</v>
      </c>
      <c r="I668" s="46">
        <v>922951</v>
      </c>
      <c r="J668">
        <v>-6.62</v>
      </c>
      <c r="K668">
        <v>0</v>
      </c>
    </row>
    <row r="669" spans="1:11" customFormat="1" hidden="1">
      <c r="A669">
        <v>1580</v>
      </c>
      <c r="B669" t="s">
        <v>1934</v>
      </c>
      <c r="C669" s="46">
        <v>320784</v>
      </c>
      <c r="D669" s="46">
        <v>366978</v>
      </c>
      <c r="E669" s="46">
        <v>362213</v>
      </c>
      <c r="F669">
        <v>-12.58</v>
      </c>
      <c r="G669">
        <v>-11.43</v>
      </c>
      <c r="H669" s="46">
        <v>3239629</v>
      </c>
      <c r="I669" s="46">
        <v>3389076</v>
      </c>
      <c r="J669">
        <v>-4.4000000000000004</v>
      </c>
      <c r="K669">
        <v>0</v>
      </c>
    </row>
    <row r="670" spans="1:11" customFormat="1">
      <c r="A670" s="62" t="str">
        <f>HYPERLINK("http://tw.stock.yahoo.com/q/ta?s=3115","3115")</f>
        <v>3115</v>
      </c>
      <c r="B670" s="62" t="str">
        <f>HYPERLINK("http://tw.stock.yahoo.com/d/s/earning_3115.html","寶島極")</f>
        <v>寶島極</v>
      </c>
      <c r="C670" s="46">
        <v>81931</v>
      </c>
      <c r="D670" s="46">
        <v>76801</v>
      </c>
      <c r="E670" s="46">
        <v>69935</v>
      </c>
      <c r="F670">
        <v>6.67</v>
      </c>
      <c r="G670">
        <v>17.149999999999999</v>
      </c>
      <c r="H670" s="46">
        <v>744931</v>
      </c>
      <c r="I670" s="46">
        <v>613945</v>
      </c>
      <c r="J670">
        <v>21.33</v>
      </c>
      <c r="K670">
        <v>1</v>
      </c>
    </row>
    <row r="671" spans="1:11" customFormat="1" hidden="1">
      <c r="A671">
        <v>1569</v>
      </c>
      <c r="B671" t="s">
        <v>266</v>
      </c>
      <c r="C671" s="46">
        <v>221920</v>
      </c>
      <c r="D671" s="46">
        <v>239965</v>
      </c>
      <c r="E671" s="46">
        <v>209479</v>
      </c>
      <c r="F671">
        <v>-7.51</v>
      </c>
      <c r="G671">
        <v>5.93</v>
      </c>
      <c r="H671" s="46">
        <v>1901164</v>
      </c>
      <c r="I671" s="46">
        <v>2128538</v>
      </c>
      <c r="J671">
        <v>-10.68</v>
      </c>
      <c r="K671">
        <v>1</v>
      </c>
    </row>
    <row r="672" spans="1:11" customFormat="1">
      <c r="A672" s="62" t="str">
        <f>HYPERLINK("http://tw.stock.yahoo.com/q/ta?s=1599","1599")</f>
        <v>1599</v>
      </c>
      <c r="B672" s="62" t="str">
        <f>HYPERLINK("http://tw.stock.yahoo.com/d/s/earning_1599.html","宏佳騰")</f>
        <v>宏佳騰</v>
      </c>
      <c r="C672" s="46">
        <v>417918</v>
      </c>
      <c r="D672" s="46">
        <v>385803</v>
      </c>
      <c r="E672" s="46">
        <v>385425</v>
      </c>
      <c r="F672">
        <v>8.32</v>
      </c>
      <c r="G672">
        <v>8.43</v>
      </c>
      <c r="H672" s="46">
        <v>2507481</v>
      </c>
      <c r="I672" s="46">
        <v>2071758</v>
      </c>
      <c r="J672">
        <v>21.03</v>
      </c>
      <c r="K672" s="242">
        <v>1</v>
      </c>
    </row>
    <row r="673" spans="1:11" customFormat="1" hidden="1">
      <c r="A673">
        <v>1565</v>
      </c>
      <c r="B673" t="s">
        <v>1944</v>
      </c>
      <c r="C673" s="46">
        <v>546170</v>
      </c>
      <c r="D673" s="46">
        <v>534045</v>
      </c>
      <c r="E673" s="46">
        <v>435545</v>
      </c>
      <c r="F673">
        <v>2.27</v>
      </c>
      <c r="G673">
        <v>25.39</v>
      </c>
      <c r="H673" s="46">
        <v>4771586</v>
      </c>
      <c r="I673" s="46">
        <v>4506529</v>
      </c>
      <c r="J673">
        <v>5.88</v>
      </c>
      <c r="K673">
        <v>1</v>
      </c>
    </row>
    <row r="674" spans="1:11" customFormat="1" hidden="1">
      <c r="A674">
        <v>1336</v>
      </c>
      <c r="B674" t="s">
        <v>264</v>
      </c>
      <c r="C674" s="46">
        <v>211943</v>
      </c>
      <c r="D674" s="46">
        <v>153681</v>
      </c>
      <c r="E674" s="46">
        <v>146552</v>
      </c>
      <c r="F674">
        <v>37.909999999999997</v>
      </c>
      <c r="G674">
        <v>44.61</v>
      </c>
      <c r="H674" s="46">
        <v>1438357</v>
      </c>
      <c r="I674" s="46">
        <v>1754566</v>
      </c>
      <c r="J674">
        <v>-18.02</v>
      </c>
      <c r="K674" s="242">
        <v>1</v>
      </c>
    </row>
    <row r="675" spans="1:11" customFormat="1" hidden="1">
      <c r="A675">
        <v>1333</v>
      </c>
      <c r="B675" t="s">
        <v>263</v>
      </c>
      <c r="C675" s="46">
        <v>62751</v>
      </c>
      <c r="D675" s="46">
        <v>76148</v>
      </c>
      <c r="E675" s="46">
        <v>83592</v>
      </c>
      <c r="F675">
        <v>-17.59</v>
      </c>
      <c r="G675">
        <v>-24.93</v>
      </c>
      <c r="H675" s="46">
        <v>722376</v>
      </c>
      <c r="I675" s="46">
        <v>968878</v>
      </c>
      <c r="J675">
        <v>-25.44</v>
      </c>
      <c r="K675">
        <v>0</v>
      </c>
    </row>
    <row r="676" spans="1:11" customFormat="1" hidden="1">
      <c r="A676">
        <v>1264</v>
      </c>
      <c r="B676" t="s">
        <v>262</v>
      </c>
      <c r="C676" s="46">
        <v>312206</v>
      </c>
      <c r="D676" s="46">
        <v>342750</v>
      </c>
      <c r="E676" s="46">
        <v>298806</v>
      </c>
      <c r="F676">
        <v>-8.91</v>
      </c>
      <c r="G676">
        <v>4.4800000000000004</v>
      </c>
      <c r="H676" s="46">
        <v>3150775</v>
      </c>
      <c r="I676" s="46">
        <v>2800437</v>
      </c>
      <c r="J676">
        <v>12.51</v>
      </c>
      <c r="K676">
        <v>0</v>
      </c>
    </row>
    <row r="677" spans="1:11" customFormat="1" hidden="1">
      <c r="A677">
        <v>1259</v>
      </c>
      <c r="B677" t="s">
        <v>261</v>
      </c>
      <c r="C677" s="46">
        <v>371676</v>
      </c>
      <c r="D677" s="46">
        <v>370414</v>
      </c>
      <c r="E677" s="46">
        <v>323129</v>
      </c>
      <c r="F677">
        <v>0.34</v>
      </c>
      <c r="G677">
        <v>15.02</v>
      </c>
      <c r="H677" s="46">
        <v>3714800</v>
      </c>
      <c r="I677" s="46">
        <v>3599067</v>
      </c>
      <c r="J677">
        <v>3.21</v>
      </c>
      <c r="K677">
        <v>0</v>
      </c>
    </row>
    <row r="678" spans="1:11" customFormat="1" hidden="1">
      <c r="C678" s="46"/>
      <c r="D678" s="46"/>
      <c r="E678" s="46"/>
      <c r="H678" s="46"/>
      <c r="I678" s="46"/>
      <c r="K678" s="242"/>
    </row>
    <row r="679" spans="1:11" customFormat="1" hidden="1">
      <c r="C679" s="46" t="s">
        <v>1919</v>
      </c>
      <c r="D679" s="46"/>
      <c r="E679" s="46"/>
      <c r="H679" s="46" t="s">
        <v>1920</v>
      </c>
      <c r="I679" s="46"/>
      <c r="K679" t="s">
        <v>1921</v>
      </c>
    </row>
    <row r="680" spans="1:11" customFormat="1" hidden="1">
      <c r="A680" s="219" t="str">
        <f>HYPERLINK("http://tw.stock.yahoo.com/q/ta?s=","")</f>
        <v/>
      </c>
      <c r="B680" s="219" t="str">
        <f>HYPERLINK("http://tw.stock.yahoo.com/d/s/earning_.html","")</f>
        <v/>
      </c>
      <c r="C680" s="27"/>
      <c r="D680" s="27"/>
      <c r="E680" s="27"/>
      <c r="F680" s="27"/>
      <c r="G680" s="27"/>
      <c r="H680" s="27"/>
      <c r="I680" s="27"/>
      <c r="J680" s="27"/>
      <c r="K680" s="243"/>
    </row>
    <row r="681" spans="1:11" customFormat="1" hidden="1"/>
    <row r="682" spans="1:11" customFormat="1" hidden="1"/>
    <row r="683" spans="1:11" customFormat="1" hidden="1"/>
    <row r="684" spans="1:11" customFormat="1" hidden="1"/>
    <row r="685" spans="1:11" customFormat="1" hidden="1"/>
    <row r="686" spans="1:11" customFormat="1" hidden="1"/>
    <row r="687" spans="1:11" customFormat="1" hidden="1"/>
    <row r="688" spans="1:11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spans="1:2" customFormat="1"/>
    <row r="4994" spans="1:2" customFormat="1"/>
    <row r="4995" spans="1:2" customFormat="1"/>
    <row r="4996" spans="1:2" customFormat="1"/>
    <row r="4997" spans="1:2" customFormat="1"/>
    <row r="4998" spans="1:2" customFormat="1"/>
    <row r="4999" spans="1:2" customFormat="1"/>
    <row r="5000" spans="1:2" customFormat="1"/>
    <row r="5001" spans="1:2">
      <c r="A5001" s="219" t="str">
        <f t="shared" ref="A5001:A5024" si="0">HYPERLINK("http://tw.stock.yahoo.com/q/ta?s=","")</f>
        <v/>
      </c>
      <c r="B5001" s="219" t="str">
        <f t="shared" ref="B5001:B5024" si="1">HYPERLINK("http://tw.stock.yahoo.com/d/s/earning_.html","")</f>
        <v/>
      </c>
    </row>
    <row r="5002" spans="1:2">
      <c r="A5002" s="219" t="str">
        <f t="shared" si="0"/>
        <v/>
      </c>
      <c r="B5002" s="219" t="str">
        <f t="shared" si="1"/>
        <v/>
      </c>
    </row>
    <row r="5003" spans="1:2">
      <c r="A5003" s="219" t="str">
        <f t="shared" si="0"/>
        <v/>
      </c>
      <c r="B5003" s="219" t="str">
        <f t="shared" si="1"/>
        <v/>
      </c>
    </row>
    <row r="5004" spans="1:2">
      <c r="A5004" s="219" t="str">
        <f t="shared" si="0"/>
        <v/>
      </c>
      <c r="B5004" s="219" t="str">
        <f t="shared" si="1"/>
        <v/>
      </c>
    </row>
    <row r="5005" spans="1:2">
      <c r="A5005" s="219" t="str">
        <f t="shared" si="0"/>
        <v/>
      </c>
      <c r="B5005" s="219" t="str">
        <f t="shared" si="1"/>
        <v/>
      </c>
    </row>
    <row r="5006" spans="1:2">
      <c r="A5006" s="219" t="str">
        <f t="shared" si="0"/>
        <v/>
      </c>
      <c r="B5006" s="219" t="str">
        <f t="shared" si="1"/>
        <v/>
      </c>
    </row>
    <row r="5007" spans="1:2">
      <c r="A5007" s="219" t="str">
        <f t="shared" si="0"/>
        <v/>
      </c>
      <c r="B5007" s="219" t="str">
        <f t="shared" si="1"/>
        <v/>
      </c>
    </row>
    <row r="5008" spans="1:2">
      <c r="A5008" s="219" t="str">
        <f t="shared" si="0"/>
        <v/>
      </c>
      <c r="B5008" s="219" t="str">
        <f t="shared" si="1"/>
        <v/>
      </c>
    </row>
    <row r="5009" spans="1:2">
      <c r="A5009" s="219" t="str">
        <f t="shared" si="0"/>
        <v/>
      </c>
      <c r="B5009" s="219" t="str">
        <f t="shared" si="1"/>
        <v/>
      </c>
    </row>
    <row r="5010" spans="1:2">
      <c r="A5010" s="219" t="str">
        <f t="shared" si="0"/>
        <v/>
      </c>
      <c r="B5010" s="219" t="str">
        <f t="shared" si="1"/>
        <v/>
      </c>
    </row>
    <row r="5011" spans="1:2">
      <c r="A5011" s="219" t="str">
        <f t="shared" si="0"/>
        <v/>
      </c>
      <c r="B5011" s="219" t="str">
        <f t="shared" si="1"/>
        <v/>
      </c>
    </row>
    <row r="5012" spans="1:2">
      <c r="A5012" s="219" t="str">
        <f t="shared" si="0"/>
        <v/>
      </c>
      <c r="B5012" s="219" t="str">
        <f t="shared" si="1"/>
        <v/>
      </c>
    </row>
    <row r="5013" spans="1:2">
      <c r="A5013" s="219" t="str">
        <f t="shared" si="0"/>
        <v/>
      </c>
      <c r="B5013" s="219" t="str">
        <f t="shared" si="1"/>
        <v/>
      </c>
    </row>
    <row r="5014" spans="1:2">
      <c r="A5014" s="219" t="str">
        <f t="shared" si="0"/>
        <v/>
      </c>
      <c r="B5014" s="219" t="str">
        <f t="shared" si="1"/>
        <v/>
      </c>
    </row>
    <row r="5015" spans="1:2">
      <c r="A5015" s="219" t="str">
        <f t="shared" si="0"/>
        <v/>
      </c>
      <c r="B5015" s="219" t="str">
        <f t="shared" si="1"/>
        <v/>
      </c>
    </row>
    <row r="5016" spans="1:2">
      <c r="A5016" s="219" t="str">
        <f t="shared" si="0"/>
        <v/>
      </c>
      <c r="B5016" s="219" t="str">
        <f t="shared" si="1"/>
        <v/>
      </c>
    </row>
    <row r="5017" spans="1:2">
      <c r="A5017" s="219" t="str">
        <f t="shared" si="0"/>
        <v/>
      </c>
      <c r="B5017" s="219" t="str">
        <f t="shared" si="1"/>
        <v/>
      </c>
    </row>
    <row r="5018" spans="1:2">
      <c r="A5018" s="219" t="str">
        <f t="shared" si="0"/>
        <v/>
      </c>
      <c r="B5018" s="219" t="str">
        <f t="shared" si="1"/>
        <v/>
      </c>
    </row>
    <row r="5019" spans="1:2">
      <c r="A5019" s="219" t="str">
        <f t="shared" si="0"/>
        <v/>
      </c>
      <c r="B5019" s="219" t="str">
        <f t="shared" si="1"/>
        <v/>
      </c>
    </row>
    <row r="5020" spans="1:2">
      <c r="A5020" s="219" t="str">
        <f t="shared" si="0"/>
        <v/>
      </c>
      <c r="B5020" s="219" t="str">
        <f t="shared" si="1"/>
        <v/>
      </c>
    </row>
    <row r="5021" spans="1:2">
      <c r="A5021" s="219" t="str">
        <f t="shared" si="0"/>
        <v/>
      </c>
      <c r="B5021" s="219" t="str">
        <f t="shared" si="1"/>
        <v/>
      </c>
    </row>
    <row r="5022" spans="1:2">
      <c r="A5022" s="219" t="str">
        <f t="shared" si="0"/>
        <v/>
      </c>
      <c r="B5022" s="219" t="str">
        <f t="shared" si="1"/>
        <v/>
      </c>
    </row>
    <row r="5023" spans="1:2">
      <c r="A5023" s="219" t="str">
        <f t="shared" si="0"/>
        <v/>
      </c>
      <c r="B5023" s="219" t="str">
        <f t="shared" si="1"/>
        <v/>
      </c>
    </row>
    <row r="5024" spans="1:2">
      <c r="A5024" s="219" t="str">
        <f t="shared" si="0"/>
        <v/>
      </c>
      <c r="B5024" s="219" t="str">
        <f t="shared" si="1"/>
        <v/>
      </c>
    </row>
    <row r="5025" spans="1:2">
      <c r="A5025" s="219" t="str">
        <f t="shared" ref="A5025:A5088" si="2">HYPERLINK("http://tw.stock.yahoo.com/q/ta?s=","")</f>
        <v/>
      </c>
      <c r="B5025" s="219" t="str">
        <f t="shared" ref="B5025:B5088" si="3">HYPERLINK("http://tw.stock.yahoo.com/d/s/earning_.html","")</f>
        <v/>
      </c>
    </row>
    <row r="5026" spans="1:2">
      <c r="A5026" s="219" t="str">
        <f t="shared" si="2"/>
        <v/>
      </c>
      <c r="B5026" s="219" t="str">
        <f t="shared" si="3"/>
        <v/>
      </c>
    </row>
    <row r="5027" spans="1:2">
      <c r="A5027" s="219" t="str">
        <f t="shared" si="2"/>
        <v/>
      </c>
      <c r="B5027" s="219" t="str">
        <f t="shared" si="3"/>
        <v/>
      </c>
    </row>
    <row r="5028" spans="1:2">
      <c r="A5028" s="219" t="str">
        <f t="shared" si="2"/>
        <v/>
      </c>
      <c r="B5028" s="219" t="str">
        <f t="shared" si="3"/>
        <v/>
      </c>
    </row>
    <row r="5029" spans="1:2">
      <c r="A5029" s="219" t="str">
        <f t="shared" si="2"/>
        <v/>
      </c>
      <c r="B5029" s="219" t="str">
        <f t="shared" si="3"/>
        <v/>
      </c>
    </row>
    <row r="5030" spans="1:2">
      <c r="A5030" s="219" t="str">
        <f t="shared" si="2"/>
        <v/>
      </c>
      <c r="B5030" s="219" t="str">
        <f t="shared" si="3"/>
        <v/>
      </c>
    </row>
    <row r="5031" spans="1:2">
      <c r="A5031" s="219" t="str">
        <f t="shared" si="2"/>
        <v/>
      </c>
      <c r="B5031" s="219" t="str">
        <f t="shared" si="3"/>
        <v/>
      </c>
    </row>
    <row r="5032" spans="1:2">
      <c r="A5032" s="219" t="str">
        <f t="shared" si="2"/>
        <v/>
      </c>
      <c r="B5032" s="219" t="str">
        <f t="shared" si="3"/>
        <v/>
      </c>
    </row>
    <row r="5033" spans="1:2">
      <c r="A5033" s="219" t="str">
        <f t="shared" si="2"/>
        <v/>
      </c>
      <c r="B5033" s="219" t="str">
        <f t="shared" si="3"/>
        <v/>
      </c>
    </row>
    <row r="5034" spans="1:2">
      <c r="A5034" s="219" t="str">
        <f t="shared" si="2"/>
        <v/>
      </c>
      <c r="B5034" s="219" t="str">
        <f t="shared" si="3"/>
        <v/>
      </c>
    </row>
    <row r="5035" spans="1:2">
      <c r="A5035" s="219" t="str">
        <f t="shared" si="2"/>
        <v/>
      </c>
      <c r="B5035" s="219" t="str">
        <f t="shared" si="3"/>
        <v/>
      </c>
    </row>
    <row r="5036" spans="1:2">
      <c r="A5036" s="219" t="str">
        <f t="shared" si="2"/>
        <v/>
      </c>
      <c r="B5036" s="219" t="str">
        <f t="shared" si="3"/>
        <v/>
      </c>
    </row>
    <row r="5037" spans="1:2">
      <c r="A5037" s="219" t="str">
        <f t="shared" si="2"/>
        <v/>
      </c>
      <c r="B5037" s="219" t="str">
        <f t="shared" si="3"/>
        <v/>
      </c>
    </row>
    <row r="5038" spans="1:2">
      <c r="A5038" s="219" t="str">
        <f t="shared" si="2"/>
        <v/>
      </c>
      <c r="B5038" s="219" t="str">
        <f t="shared" si="3"/>
        <v/>
      </c>
    </row>
    <row r="5039" spans="1:2">
      <c r="A5039" s="219" t="str">
        <f t="shared" si="2"/>
        <v/>
      </c>
      <c r="B5039" s="219" t="str">
        <f t="shared" si="3"/>
        <v/>
      </c>
    </row>
    <row r="5040" spans="1:2">
      <c r="A5040" s="219" t="str">
        <f t="shared" si="2"/>
        <v/>
      </c>
      <c r="B5040" s="219" t="str">
        <f t="shared" si="3"/>
        <v/>
      </c>
    </row>
    <row r="5041" spans="1:2">
      <c r="A5041" s="219" t="str">
        <f t="shared" si="2"/>
        <v/>
      </c>
      <c r="B5041" s="219" t="str">
        <f t="shared" si="3"/>
        <v/>
      </c>
    </row>
    <row r="5042" spans="1:2">
      <c r="A5042" s="219" t="str">
        <f t="shared" si="2"/>
        <v/>
      </c>
      <c r="B5042" s="219" t="str">
        <f t="shared" si="3"/>
        <v/>
      </c>
    </row>
    <row r="5043" spans="1:2">
      <c r="A5043" s="219" t="str">
        <f t="shared" si="2"/>
        <v/>
      </c>
      <c r="B5043" s="219" t="str">
        <f t="shared" si="3"/>
        <v/>
      </c>
    </row>
    <row r="5044" spans="1:2">
      <c r="A5044" s="219" t="str">
        <f t="shared" si="2"/>
        <v/>
      </c>
      <c r="B5044" s="219" t="str">
        <f t="shared" si="3"/>
        <v/>
      </c>
    </row>
    <row r="5045" spans="1:2">
      <c r="A5045" s="219" t="str">
        <f t="shared" si="2"/>
        <v/>
      </c>
      <c r="B5045" s="219" t="str">
        <f t="shared" si="3"/>
        <v/>
      </c>
    </row>
    <row r="5046" spans="1:2">
      <c r="A5046" s="219" t="str">
        <f t="shared" si="2"/>
        <v/>
      </c>
      <c r="B5046" s="219" t="str">
        <f t="shared" si="3"/>
        <v/>
      </c>
    </row>
    <row r="5047" spans="1:2">
      <c r="A5047" s="219" t="str">
        <f t="shared" si="2"/>
        <v/>
      </c>
      <c r="B5047" s="219" t="str">
        <f t="shared" si="3"/>
        <v/>
      </c>
    </row>
    <row r="5048" spans="1:2">
      <c r="A5048" s="219" t="str">
        <f t="shared" si="2"/>
        <v/>
      </c>
      <c r="B5048" s="219" t="str">
        <f t="shared" si="3"/>
        <v/>
      </c>
    </row>
    <row r="5049" spans="1:2">
      <c r="A5049" s="219" t="str">
        <f t="shared" si="2"/>
        <v/>
      </c>
      <c r="B5049" s="219" t="str">
        <f t="shared" si="3"/>
        <v/>
      </c>
    </row>
    <row r="5050" spans="1:2">
      <c r="A5050" s="219" t="str">
        <f t="shared" si="2"/>
        <v/>
      </c>
      <c r="B5050" s="219" t="str">
        <f t="shared" si="3"/>
        <v/>
      </c>
    </row>
    <row r="5051" spans="1:2">
      <c r="A5051" s="219" t="str">
        <f t="shared" si="2"/>
        <v/>
      </c>
      <c r="B5051" s="219" t="str">
        <f t="shared" si="3"/>
        <v/>
      </c>
    </row>
    <row r="5052" spans="1:2">
      <c r="A5052" s="219" t="str">
        <f t="shared" si="2"/>
        <v/>
      </c>
      <c r="B5052" s="219" t="str">
        <f t="shared" si="3"/>
        <v/>
      </c>
    </row>
    <row r="5053" spans="1:2">
      <c r="A5053" s="219" t="str">
        <f t="shared" si="2"/>
        <v/>
      </c>
      <c r="B5053" s="219" t="str">
        <f t="shared" si="3"/>
        <v/>
      </c>
    </row>
    <row r="5054" spans="1:2">
      <c r="A5054" s="219" t="str">
        <f t="shared" si="2"/>
        <v/>
      </c>
      <c r="B5054" s="219" t="str">
        <f t="shared" si="3"/>
        <v/>
      </c>
    </row>
    <row r="5055" spans="1:2">
      <c r="A5055" s="219" t="str">
        <f t="shared" si="2"/>
        <v/>
      </c>
      <c r="B5055" s="219" t="str">
        <f t="shared" si="3"/>
        <v/>
      </c>
    </row>
    <row r="5056" spans="1:2">
      <c r="A5056" s="219" t="str">
        <f t="shared" si="2"/>
        <v/>
      </c>
      <c r="B5056" s="219" t="str">
        <f t="shared" si="3"/>
        <v/>
      </c>
    </row>
    <row r="5057" spans="1:2">
      <c r="A5057" s="219" t="str">
        <f t="shared" si="2"/>
        <v/>
      </c>
      <c r="B5057" s="219" t="str">
        <f t="shared" si="3"/>
        <v/>
      </c>
    </row>
    <row r="5058" spans="1:2">
      <c r="A5058" s="219" t="str">
        <f t="shared" si="2"/>
        <v/>
      </c>
      <c r="B5058" s="219" t="str">
        <f t="shared" si="3"/>
        <v/>
      </c>
    </row>
    <row r="5059" spans="1:2">
      <c r="A5059" s="219" t="str">
        <f t="shared" si="2"/>
        <v/>
      </c>
      <c r="B5059" s="219" t="str">
        <f t="shared" si="3"/>
        <v/>
      </c>
    </row>
    <row r="5060" spans="1:2">
      <c r="A5060" s="219" t="str">
        <f t="shared" si="2"/>
        <v/>
      </c>
      <c r="B5060" s="219" t="str">
        <f t="shared" si="3"/>
        <v/>
      </c>
    </row>
    <row r="5061" spans="1:2">
      <c r="A5061" s="219" t="str">
        <f t="shared" si="2"/>
        <v/>
      </c>
      <c r="B5061" s="219" t="str">
        <f t="shared" si="3"/>
        <v/>
      </c>
    </row>
    <row r="5062" spans="1:2">
      <c r="A5062" s="219" t="str">
        <f t="shared" si="2"/>
        <v/>
      </c>
      <c r="B5062" s="219" t="str">
        <f t="shared" si="3"/>
        <v/>
      </c>
    </row>
    <row r="5063" spans="1:2">
      <c r="A5063" s="219" t="str">
        <f t="shared" si="2"/>
        <v/>
      </c>
      <c r="B5063" s="219" t="str">
        <f t="shared" si="3"/>
        <v/>
      </c>
    </row>
    <row r="5064" spans="1:2">
      <c r="A5064" s="219" t="str">
        <f t="shared" si="2"/>
        <v/>
      </c>
      <c r="B5064" s="219" t="str">
        <f t="shared" si="3"/>
        <v/>
      </c>
    </row>
    <row r="5065" spans="1:2">
      <c r="A5065" s="219" t="str">
        <f t="shared" si="2"/>
        <v/>
      </c>
      <c r="B5065" s="219" t="str">
        <f t="shared" si="3"/>
        <v/>
      </c>
    </row>
    <row r="5066" spans="1:2">
      <c r="A5066" s="219" t="str">
        <f t="shared" si="2"/>
        <v/>
      </c>
      <c r="B5066" s="219" t="str">
        <f t="shared" si="3"/>
        <v/>
      </c>
    </row>
    <row r="5067" spans="1:2">
      <c r="A5067" s="219" t="str">
        <f t="shared" si="2"/>
        <v/>
      </c>
      <c r="B5067" s="219" t="str">
        <f t="shared" si="3"/>
        <v/>
      </c>
    </row>
    <row r="5068" spans="1:2">
      <c r="A5068" s="219" t="str">
        <f t="shared" si="2"/>
        <v/>
      </c>
      <c r="B5068" s="219" t="str">
        <f t="shared" si="3"/>
        <v/>
      </c>
    </row>
    <row r="5069" spans="1:2">
      <c r="A5069" s="219" t="str">
        <f t="shared" si="2"/>
        <v/>
      </c>
      <c r="B5069" s="219" t="str">
        <f t="shared" si="3"/>
        <v/>
      </c>
    </row>
    <row r="5070" spans="1:2">
      <c r="A5070" s="219" t="str">
        <f t="shared" si="2"/>
        <v/>
      </c>
      <c r="B5070" s="219" t="str">
        <f t="shared" si="3"/>
        <v/>
      </c>
    </row>
    <row r="5071" spans="1:2">
      <c r="A5071" s="219" t="str">
        <f t="shared" si="2"/>
        <v/>
      </c>
      <c r="B5071" s="219" t="str">
        <f t="shared" si="3"/>
        <v/>
      </c>
    </row>
    <row r="5072" spans="1:2">
      <c r="A5072" s="219" t="str">
        <f t="shared" si="2"/>
        <v/>
      </c>
      <c r="B5072" s="219" t="str">
        <f t="shared" si="3"/>
        <v/>
      </c>
    </row>
    <row r="5073" spans="1:2">
      <c r="A5073" s="219" t="str">
        <f t="shared" si="2"/>
        <v/>
      </c>
      <c r="B5073" s="219" t="str">
        <f t="shared" si="3"/>
        <v/>
      </c>
    </row>
    <row r="5074" spans="1:2">
      <c r="A5074" s="219" t="str">
        <f t="shared" si="2"/>
        <v/>
      </c>
      <c r="B5074" s="219" t="str">
        <f t="shared" si="3"/>
        <v/>
      </c>
    </row>
    <row r="5075" spans="1:2">
      <c r="A5075" s="219" t="str">
        <f t="shared" si="2"/>
        <v/>
      </c>
      <c r="B5075" s="219" t="str">
        <f t="shared" si="3"/>
        <v/>
      </c>
    </row>
    <row r="5076" spans="1:2">
      <c r="A5076" s="219" t="str">
        <f t="shared" si="2"/>
        <v/>
      </c>
      <c r="B5076" s="219" t="str">
        <f t="shared" si="3"/>
        <v/>
      </c>
    </row>
    <row r="5077" spans="1:2">
      <c r="A5077" s="219" t="str">
        <f t="shared" si="2"/>
        <v/>
      </c>
      <c r="B5077" s="219" t="str">
        <f t="shared" si="3"/>
        <v/>
      </c>
    </row>
    <row r="5078" spans="1:2">
      <c r="A5078" s="219" t="str">
        <f t="shared" si="2"/>
        <v/>
      </c>
      <c r="B5078" s="219" t="str">
        <f t="shared" si="3"/>
        <v/>
      </c>
    </row>
    <row r="5079" spans="1:2">
      <c r="A5079" s="219" t="str">
        <f t="shared" si="2"/>
        <v/>
      </c>
      <c r="B5079" s="219" t="str">
        <f t="shared" si="3"/>
        <v/>
      </c>
    </row>
    <row r="5080" spans="1:2">
      <c r="A5080" s="219" t="str">
        <f t="shared" si="2"/>
        <v/>
      </c>
      <c r="B5080" s="219" t="str">
        <f t="shared" si="3"/>
        <v/>
      </c>
    </row>
    <row r="5081" spans="1:2">
      <c r="A5081" s="219" t="str">
        <f t="shared" si="2"/>
        <v/>
      </c>
      <c r="B5081" s="219" t="str">
        <f t="shared" si="3"/>
        <v/>
      </c>
    </row>
    <row r="5082" spans="1:2">
      <c r="A5082" s="219" t="str">
        <f t="shared" si="2"/>
        <v/>
      </c>
      <c r="B5082" s="219" t="str">
        <f t="shared" si="3"/>
        <v/>
      </c>
    </row>
    <row r="5083" spans="1:2">
      <c r="A5083" s="219" t="str">
        <f t="shared" si="2"/>
        <v/>
      </c>
      <c r="B5083" s="219" t="str">
        <f t="shared" si="3"/>
        <v/>
      </c>
    </row>
    <row r="5084" spans="1:2">
      <c r="A5084" s="219" t="str">
        <f t="shared" si="2"/>
        <v/>
      </c>
      <c r="B5084" s="219" t="str">
        <f t="shared" si="3"/>
        <v/>
      </c>
    </row>
    <row r="5085" spans="1:2">
      <c r="A5085" s="219" t="str">
        <f t="shared" si="2"/>
        <v/>
      </c>
      <c r="B5085" s="219" t="str">
        <f t="shared" si="3"/>
        <v/>
      </c>
    </row>
    <row r="5086" spans="1:2">
      <c r="A5086" s="219" t="str">
        <f t="shared" si="2"/>
        <v/>
      </c>
      <c r="B5086" s="219" t="str">
        <f t="shared" si="3"/>
        <v/>
      </c>
    </row>
    <row r="5087" spans="1:2">
      <c r="A5087" s="219" t="str">
        <f t="shared" si="2"/>
        <v/>
      </c>
      <c r="B5087" s="219" t="str">
        <f t="shared" si="3"/>
        <v/>
      </c>
    </row>
    <row r="5088" spans="1:2">
      <c r="A5088" s="219" t="str">
        <f t="shared" si="2"/>
        <v/>
      </c>
      <c r="B5088" s="219" t="str">
        <f t="shared" si="3"/>
        <v/>
      </c>
    </row>
    <row r="5089" spans="1:2">
      <c r="A5089" s="219" t="str">
        <f t="shared" ref="A5089:A5152" si="4">HYPERLINK("http://tw.stock.yahoo.com/q/ta?s=","")</f>
        <v/>
      </c>
      <c r="B5089" s="219" t="str">
        <f t="shared" ref="B5089:B5152" si="5">HYPERLINK("http://tw.stock.yahoo.com/d/s/earning_.html","")</f>
        <v/>
      </c>
    </row>
    <row r="5090" spans="1:2">
      <c r="A5090" s="219" t="str">
        <f t="shared" si="4"/>
        <v/>
      </c>
      <c r="B5090" s="219" t="str">
        <f t="shared" si="5"/>
        <v/>
      </c>
    </row>
    <row r="5091" spans="1:2">
      <c r="A5091" s="219" t="str">
        <f t="shared" si="4"/>
        <v/>
      </c>
      <c r="B5091" s="219" t="str">
        <f t="shared" si="5"/>
        <v/>
      </c>
    </row>
    <row r="5092" spans="1:2">
      <c r="A5092" s="219" t="str">
        <f t="shared" si="4"/>
        <v/>
      </c>
      <c r="B5092" s="219" t="str">
        <f t="shared" si="5"/>
        <v/>
      </c>
    </row>
    <row r="5093" spans="1:2">
      <c r="A5093" s="219" t="str">
        <f t="shared" si="4"/>
        <v/>
      </c>
      <c r="B5093" s="219" t="str">
        <f t="shared" si="5"/>
        <v/>
      </c>
    </row>
    <row r="5094" spans="1:2">
      <c r="A5094" s="219" t="str">
        <f t="shared" si="4"/>
        <v/>
      </c>
      <c r="B5094" s="219" t="str">
        <f t="shared" si="5"/>
        <v/>
      </c>
    </row>
    <row r="5095" spans="1:2">
      <c r="A5095" s="219" t="str">
        <f t="shared" si="4"/>
        <v/>
      </c>
      <c r="B5095" s="219" t="str">
        <f t="shared" si="5"/>
        <v/>
      </c>
    </row>
    <row r="5096" spans="1:2">
      <c r="A5096" s="219" t="str">
        <f t="shared" si="4"/>
        <v/>
      </c>
      <c r="B5096" s="219" t="str">
        <f t="shared" si="5"/>
        <v/>
      </c>
    </row>
    <row r="5097" spans="1:2">
      <c r="A5097" s="219" t="str">
        <f t="shared" si="4"/>
        <v/>
      </c>
      <c r="B5097" s="219" t="str">
        <f t="shared" si="5"/>
        <v/>
      </c>
    </row>
    <row r="5098" spans="1:2">
      <c r="A5098" s="219" t="str">
        <f t="shared" si="4"/>
        <v/>
      </c>
      <c r="B5098" s="219" t="str">
        <f t="shared" si="5"/>
        <v/>
      </c>
    </row>
    <row r="5099" spans="1:2">
      <c r="A5099" s="219" t="str">
        <f t="shared" si="4"/>
        <v/>
      </c>
      <c r="B5099" s="219" t="str">
        <f t="shared" si="5"/>
        <v/>
      </c>
    </row>
    <row r="5100" spans="1:2">
      <c r="A5100" s="219" t="str">
        <f t="shared" si="4"/>
        <v/>
      </c>
      <c r="B5100" s="219" t="str">
        <f t="shared" si="5"/>
        <v/>
      </c>
    </row>
    <row r="5101" spans="1:2">
      <c r="A5101" s="219" t="str">
        <f t="shared" si="4"/>
        <v/>
      </c>
      <c r="B5101" s="219" t="str">
        <f t="shared" si="5"/>
        <v/>
      </c>
    </row>
    <row r="5102" spans="1:2">
      <c r="A5102" s="219" t="str">
        <f t="shared" si="4"/>
        <v/>
      </c>
      <c r="B5102" s="219" t="str">
        <f t="shared" si="5"/>
        <v/>
      </c>
    </row>
    <row r="5103" spans="1:2">
      <c r="A5103" s="219" t="str">
        <f t="shared" si="4"/>
        <v/>
      </c>
      <c r="B5103" s="219" t="str">
        <f t="shared" si="5"/>
        <v/>
      </c>
    </row>
    <row r="5104" spans="1:2">
      <c r="A5104" s="219" t="str">
        <f t="shared" si="4"/>
        <v/>
      </c>
      <c r="B5104" s="219" t="str">
        <f t="shared" si="5"/>
        <v/>
      </c>
    </row>
    <row r="5105" spans="1:2">
      <c r="A5105" s="219" t="str">
        <f t="shared" si="4"/>
        <v/>
      </c>
      <c r="B5105" s="219" t="str">
        <f t="shared" si="5"/>
        <v/>
      </c>
    </row>
    <row r="5106" spans="1:2">
      <c r="A5106" s="219" t="str">
        <f t="shared" si="4"/>
        <v/>
      </c>
      <c r="B5106" s="219" t="str">
        <f t="shared" si="5"/>
        <v/>
      </c>
    </row>
    <row r="5107" spans="1:2">
      <c r="A5107" s="219" t="str">
        <f t="shared" si="4"/>
        <v/>
      </c>
      <c r="B5107" s="219" t="str">
        <f t="shared" si="5"/>
        <v/>
      </c>
    </row>
    <row r="5108" spans="1:2">
      <c r="A5108" s="219" t="str">
        <f t="shared" si="4"/>
        <v/>
      </c>
      <c r="B5108" s="219" t="str">
        <f t="shared" si="5"/>
        <v/>
      </c>
    </row>
    <row r="5109" spans="1:2">
      <c r="A5109" s="219" t="str">
        <f t="shared" si="4"/>
        <v/>
      </c>
      <c r="B5109" s="219" t="str">
        <f t="shared" si="5"/>
        <v/>
      </c>
    </row>
    <row r="5110" spans="1:2">
      <c r="A5110" s="219" t="str">
        <f t="shared" si="4"/>
        <v/>
      </c>
      <c r="B5110" s="219" t="str">
        <f t="shared" si="5"/>
        <v/>
      </c>
    </row>
    <row r="5111" spans="1:2">
      <c r="A5111" s="219" t="str">
        <f t="shared" si="4"/>
        <v/>
      </c>
      <c r="B5111" s="219" t="str">
        <f t="shared" si="5"/>
        <v/>
      </c>
    </row>
    <row r="5112" spans="1:2">
      <c r="A5112" s="219" t="str">
        <f t="shared" si="4"/>
        <v/>
      </c>
      <c r="B5112" s="219" t="str">
        <f t="shared" si="5"/>
        <v/>
      </c>
    </row>
    <row r="5113" spans="1:2">
      <c r="A5113" s="219" t="str">
        <f t="shared" si="4"/>
        <v/>
      </c>
      <c r="B5113" s="219" t="str">
        <f t="shared" si="5"/>
        <v/>
      </c>
    </row>
    <row r="5114" spans="1:2">
      <c r="A5114" s="219" t="str">
        <f t="shared" si="4"/>
        <v/>
      </c>
      <c r="B5114" s="219" t="str">
        <f t="shared" si="5"/>
        <v/>
      </c>
    </row>
    <row r="5115" spans="1:2">
      <c r="A5115" s="219" t="str">
        <f t="shared" si="4"/>
        <v/>
      </c>
      <c r="B5115" s="219" t="str">
        <f t="shared" si="5"/>
        <v/>
      </c>
    </row>
    <row r="5116" spans="1:2">
      <c r="A5116" s="219" t="str">
        <f t="shared" si="4"/>
        <v/>
      </c>
      <c r="B5116" s="219" t="str">
        <f t="shared" si="5"/>
        <v/>
      </c>
    </row>
    <row r="5117" spans="1:2">
      <c r="A5117" s="219" t="str">
        <f t="shared" si="4"/>
        <v/>
      </c>
      <c r="B5117" s="219" t="str">
        <f t="shared" si="5"/>
        <v/>
      </c>
    </row>
    <row r="5118" spans="1:2">
      <c r="A5118" s="219" t="str">
        <f t="shared" si="4"/>
        <v/>
      </c>
      <c r="B5118" s="219" t="str">
        <f t="shared" si="5"/>
        <v/>
      </c>
    </row>
    <row r="5119" spans="1:2">
      <c r="A5119" s="219" t="str">
        <f t="shared" si="4"/>
        <v/>
      </c>
      <c r="B5119" s="219" t="str">
        <f t="shared" si="5"/>
        <v/>
      </c>
    </row>
    <row r="5120" spans="1:2">
      <c r="A5120" s="219" t="str">
        <f t="shared" si="4"/>
        <v/>
      </c>
      <c r="B5120" s="219" t="str">
        <f t="shared" si="5"/>
        <v/>
      </c>
    </row>
    <row r="5121" spans="1:2">
      <c r="A5121" s="219" t="str">
        <f t="shared" si="4"/>
        <v/>
      </c>
      <c r="B5121" s="219" t="str">
        <f t="shared" si="5"/>
        <v/>
      </c>
    </row>
    <row r="5122" spans="1:2">
      <c r="A5122" s="219" t="str">
        <f t="shared" si="4"/>
        <v/>
      </c>
      <c r="B5122" s="219" t="str">
        <f t="shared" si="5"/>
        <v/>
      </c>
    </row>
    <row r="5123" spans="1:2">
      <c r="A5123" s="219" t="str">
        <f t="shared" si="4"/>
        <v/>
      </c>
      <c r="B5123" s="219" t="str">
        <f t="shared" si="5"/>
        <v/>
      </c>
    </row>
    <row r="5124" spans="1:2">
      <c r="A5124" s="219" t="str">
        <f t="shared" si="4"/>
        <v/>
      </c>
      <c r="B5124" s="219" t="str">
        <f t="shared" si="5"/>
        <v/>
      </c>
    </row>
    <row r="5125" spans="1:2">
      <c r="A5125" s="219" t="str">
        <f t="shared" si="4"/>
        <v/>
      </c>
      <c r="B5125" s="219" t="str">
        <f t="shared" si="5"/>
        <v/>
      </c>
    </row>
    <row r="5126" spans="1:2">
      <c r="A5126" s="219" t="str">
        <f t="shared" si="4"/>
        <v/>
      </c>
      <c r="B5126" s="219" t="str">
        <f t="shared" si="5"/>
        <v/>
      </c>
    </row>
    <row r="5127" spans="1:2">
      <c r="A5127" s="219" t="str">
        <f t="shared" si="4"/>
        <v/>
      </c>
      <c r="B5127" s="219" t="str">
        <f t="shared" si="5"/>
        <v/>
      </c>
    </row>
    <row r="5128" spans="1:2">
      <c r="A5128" s="219" t="str">
        <f t="shared" si="4"/>
        <v/>
      </c>
      <c r="B5128" s="219" t="str">
        <f t="shared" si="5"/>
        <v/>
      </c>
    </row>
    <row r="5129" spans="1:2">
      <c r="A5129" s="219" t="str">
        <f t="shared" si="4"/>
        <v/>
      </c>
      <c r="B5129" s="219" t="str">
        <f t="shared" si="5"/>
        <v/>
      </c>
    </row>
    <row r="5130" spans="1:2">
      <c r="A5130" s="219" t="str">
        <f t="shared" si="4"/>
        <v/>
      </c>
      <c r="B5130" s="219" t="str">
        <f t="shared" si="5"/>
        <v/>
      </c>
    </row>
    <row r="5131" spans="1:2">
      <c r="A5131" s="219" t="str">
        <f t="shared" si="4"/>
        <v/>
      </c>
      <c r="B5131" s="219" t="str">
        <f t="shared" si="5"/>
        <v/>
      </c>
    </row>
    <row r="5132" spans="1:2">
      <c r="A5132" s="219" t="str">
        <f t="shared" si="4"/>
        <v/>
      </c>
      <c r="B5132" s="219" t="str">
        <f t="shared" si="5"/>
        <v/>
      </c>
    </row>
    <row r="5133" spans="1:2">
      <c r="A5133" s="219" t="str">
        <f t="shared" si="4"/>
        <v/>
      </c>
      <c r="B5133" s="219" t="str">
        <f t="shared" si="5"/>
        <v/>
      </c>
    </row>
    <row r="5134" spans="1:2">
      <c r="A5134" s="219" t="str">
        <f t="shared" si="4"/>
        <v/>
      </c>
      <c r="B5134" s="219" t="str">
        <f t="shared" si="5"/>
        <v/>
      </c>
    </row>
    <row r="5135" spans="1:2">
      <c r="A5135" s="219" t="str">
        <f t="shared" si="4"/>
        <v/>
      </c>
      <c r="B5135" s="219" t="str">
        <f t="shared" si="5"/>
        <v/>
      </c>
    </row>
    <row r="5136" spans="1:2">
      <c r="A5136" s="219" t="str">
        <f t="shared" si="4"/>
        <v/>
      </c>
      <c r="B5136" s="219" t="str">
        <f t="shared" si="5"/>
        <v/>
      </c>
    </row>
    <row r="5137" spans="1:2">
      <c r="A5137" s="219" t="str">
        <f t="shared" si="4"/>
        <v/>
      </c>
      <c r="B5137" s="219" t="str">
        <f t="shared" si="5"/>
        <v/>
      </c>
    </row>
    <row r="5138" spans="1:2">
      <c r="A5138" s="219" t="str">
        <f t="shared" si="4"/>
        <v/>
      </c>
      <c r="B5138" s="219" t="str">
        <f t="shared" si="5"/>
        <v/>
      </c>
    </row>
    <row r="5139" spans="1:2">
      <c r="A5139" s="219" t="str">
        <f t="shared" si="4"/>
        <v/>
      </c>
      <c r="B5139" s="219" t="str">
        <f t="shared" si="5"/>
        <v/>
      </c>
    </row>
    <row r="5140" spans="1:2">
      <c r="A5140" s="219" t="str">
        <f t="shared" si="4"/>
        <v/>
      </c>
      <c r="B5140" s="219" t="str">
        <f t="shared" si="5"/>
        <v/>
      </c>
    </row>
    <row r="5141" spans="1:2">
      <c r="A5141" s="219" t="str">
        <f t="shared" si="4"/>
        <v/>
      </c>
      <c r="B5141" s="219" t="str">
        <f t="shared" si="5"/>
        <v/>
      </c>
    </row>
    <row r="5142" spans="1:2">
      <c r="A5142" s="219" t="str">
        <f t="shared" si="4"/>
        <v/>
      </c>
      <c r="B5142" s="219" t="str">
        <f t="shared" si="5"/>
        <v/>
      </c>
    </row>
    <row r="5143" spans="1:2">
      <c r="A5143" s="219" t="str">
        <f t="shared" si="4"/>
        <v/>
      </c>
      <c r="B5143" s="219" t="str">
        <f t="shared" si="5"/>
        <v/>
      </c>
    </row>
    <row r="5144" spans="1:2">
      <c r="A5144" s="219" t="str">
        <f t="shared" si="4"/>
        <v/>
      </c>
      <c r="B5144" s="219" t="str">
        <f t="shared" si="5"/>
        <v/>
      </c>
    </row>
    <row r="5145" spans="1:2">
      <c r="A5145" s="219" t="str">
        <f t="shared" si="4"/>
        <v/>
      </c>
      <c r="B5145" s="219" t="str">
        <f t="shared" si="5"/>
        <v/>
      </c>
    </row>
    <row r="5146" spans="1:2">
      <c r="A5146" s="219" t="str">
        <f t="shared" si="4"/>
        <v/>
      </c>
      <c r="B5146" s="219" t="str">
        <f t="shared" si="5"/>
        <v/>
      </c>
    </row>
    <row r="5147" spans="1:2">
      <c r="A5147" s="219" t="str">
        <f t="shared" si="4"/>
        <v/>
      </c>
      <c r="B5147" s="219" t="str">
        <f t="shared" si="5"/>
        <v/>
      </c>
    </row>
    <row r="5148" spans="1:2">
      <c r="A5148" s="219" t="str">
        <f t="shared" si="4"/>
        <v/>
      </c>
      <c r="B5148" s="219" t="str">
        <f t="shared" si="5"/>
        <v/>
      </c>
    </row>
    <row r="5149" spans="1:2">
      <c r="A5149" s="219" t="str">
        <f t="shared" si="4"/>
        <v/>
      </c>
      <c r="B5149" s="219" t="str">
        <f t="shared" si="5"/>
        <v/>
      </c>
    </row>
    <row r="5150" spans="1:2">
      <c r="A5150" s="219" t="str">
        <f t="shared" si="4"/>
        <v/>
      </c>
      <c r="B5150" s="219" t="str">
        <f t="shared" si="5"/>
        <v/>
      </c>
    </row>
    <row r="5151" spans="1:2">
      <c r="A5151" s="219" t="str">
        <f t="shared" si="4"/>
        <v/>
      </c>
      <c r="B5151" s="219" t="str">
        <f t="shared" si="5"/>
        <v/>
      </c>
    </row>
    <row r="5152" spans="1:2">
      <c r="A5152" s="219" t="str">
        <f t="shared" si="4"/>
        <v/>
      </c>
      <c r="B5152" s="219" t="str">
        <f t="shared" si="5"/>
        <v/>
      </c>
    </row>
    <row r="5153" spans="1:2">
      <c r="A5153" s="219" t="str">
        <f t="shared" ref="A5153:A5216" si="6">HYPERLINK("http://tw.stock.yahoo.com/q/ta?s=","")</f>
        <v/>
      </c>
      <c r="B5153" s="219" t="str">
        <f t="shared" ref="B5153:B5216" si="7">HYPERLINK("http://tw.stock.yahoo.com/d/s/earning_.html","")</f>
        <v/>
      </c>
    </row>
    <row r="5154" spans="1:2">
      <c r="A5154" s="219" t="str">
        <f t="shared" si="6"/>
        <v/>
      </c>
      <c r="B5154" s="219" t="str">
        <f t="shared" si="7"/>
        <v/>
      </c>
    </row>
    <row r="5155" spans="1:2">
      <c r="A5155" s="219" t="str">
        <f t="shared" si="6"/>
        <v/>
      </c>
      <c r="B5155" s="219" t="str">
        <f t="shared" si="7"/>
        <v/>
      </c>
    </row>
    <row r="5156" spans="1:2">
      <c r="A5156" s="219" t="str">
        <f t="shared" si="6"/>
        <v/>
      </c>
      <c r="B5156" s="219" t="str">
        <f t="shared" si="7"/>
        <v/>
      </c>
    </row>
    <row r="5157" spans="1:2">
      <c r="A5157" s="219" t="str">
        <f t="shared" si="6"/>
        <v/>
      </c>
      <c r="B5157" s="219" t="str">
        <f t="shared" si="7"/>
        <v/>
      </c>
    </row>
    <row r="5158" spans="1:2">
      <c r="A5158" s="219" t="str">
        <f t="shared" si="6"/>
        <v/>
      </c>
      <c r="B5158" s="219" t="str">
        <f t="shared" si="7"/>
        <v/>
      </c>
    </row>
    <row r="5159" spans="1:2">
      <c r="A5159" s="219" t="str">
        <f t="shared" si="6"/>
        <v/>
      </c>
      <c r="B5159" s="219" t="str">
        <f t="shared" si="7"/>
        <v/>
      </c>
    </row>
    <row r="5160" spans="1:2">
      <c r="A5160" s="219" t="str">
        <f t="shared" si="6"/>
        <v/>
      </c>
      <c r="B5160" s="219" t="str">
        <f t="shared" si="7"/>
        <v/>
      </c>
    </row>
    <row r="5161" spans="1:2">
      <c r="A5161" s="219" t="str">
        <f t="shared" si="6"/>
        <v/>
      </c>
      <c r="B5161" s="219" t="str">
        <f t="shared" si="7"/>
        <v/>
      </c>
    </row>
    <row r="5162" spans="1:2">
      <c r="A5162" s="219" t="str">
        <f t="shared" si="6"/>
        <v/>
      </c>
      <c r="B5162" s="219" t="str">
        <f t="shared" si="7"/>
        <v/>
      </c>
    </row>
    <row r="5163" spans="1:2">
      <c r="A5163" s="219" t="str">
        <f t="shared" si="6"/>
        <v/>
      </c>
      <c r="B5163" s="219" t="str">
        <f t="shared" si="7"/>
        <v/>
      </c>
    </row>
    <row r="5164" spans="1:2">
      <c r="A5164" s="219" t="str">
        <f t="shared" si="6"/>
        <v/>
      </c>
      <c r="B5164" s="219" t="str">
        <f t="shared" si="7"/>
        <v/>
      </c>
    </row>
    <row r="5165" spans="1:2">
      <c r="A5165" s="219" t="str">
        <f t="shared" si="6"/>
        <v/>
      </c>
      <c r="B5165" s="219" t="str">
        <f t="shared" si="7"/>
        <v/>
      </c>
    </row>
    <row r="5166" spans="1:2">
      <c r="A5166" s="219" t="str">
        <f t="shared" si="6"/>
        <v/>
      </c>
      <c r="B5166" s="219" t="str">
        <f t="shared" si="7"/>
        <v/>
      </c>
    </row>
    <row r="5167" spans="1:2">
      <c r="A5167" s="219" t="str">
        <f t="shared" si="6"/>
        <v/>
      </c>
      <c r="B5167" s="219" t="str">
        <f t="shared" si="7"/>
        <v/>
      </c>
    </row>
    <row r="5168" spans="1:2">
      <c r="A5168" s="219" t="str">
        <f t="shared" si="6"/>
        <v/>
      </c>
      <c r="B5168" s="219" t="str">
        <f t="shared" si="7"/>
        <v/>
      </c>
    </row>
    <row r="5169" spans="1:2">
      <c r="A5169" s="219" t="str">
        <f t="shared" si="6"/>
        <v/>
      </c>
      <c r="B5169" s="219" t="str">
        <f t="shared" si="7"/>
        <v/>
      </c>
    </row>
    <row r="5170" spans="1:2">
      <c r="A5170" s="219" t="str">
        <f t="shared" si="6"/>
        <v/>
      </c>
      <c r="B5170" s="219" t="str">
        <f t="shared" si="7"/>
        <v/>
      </c>
    </row>
    <row r="5171" spans="1:2">
      <c r="A5171" s="219" t="str">
        <f t="shared" si="6"/>
        <v/>
      </c>
      <c r="B5171" s="219" t="str">
        <f t="shared" si="7"/>
        <v/>
      </c>
    </row>
    <row r="5172" spans="1:2">
      <c r="A5172" s="219" t="str">
        <f t="shared" si="6"/>
        <v/>
      </c>
      <c r="B5172" s="219" t="str">
        <f t="shared" si="7"/>
        <v/>
      </c>
    </row>
    <row r="5173" spans="1:2">
      <c r="A5173" s="219" t="str">
        <f t="shared" si="6"/>
        <v/>
      </c>
      <c r="B5173" s="219" t="str">
        <f t="shared" si="7"/>
        <v/>
      </c>
    </row>
    <row r="5174" spans="1:2">
      <c r="A5174" s="219" t="str">
        <f t="shared" si="6"/>
        <v/>
      </c>
      <c r="B5174" s="219" t="str">
        <f t="shared" si="7"/>
        <v/>
      </c>
    </row>
    <row r="5175" spans="1:2">
      <c r="A5175" s="219" t="str">
        <f t="shared" si="6"/>
        <v/>
      </c>
      <c r="B5175" s="219" t="str">
        <f t="shared" si="7"/>
        <v/>
      </c>
    </row>
    <row r="5176" spans="1:2">
      <c r="A5176" s="219" t="str">
        <f t="shared" si="6"/>
        <v/>
      </c>
      <c r="B5176" s="219" t="str">
        <f t="shared" si="7"/>
        <v/>
      </c>
    </row>
    <row r="5177" spans="1:2">
      <c r="A5177" s="219" t="str">
        <f t="shared" si="6"/>
        <v/>
      </c>
      <c r="B5177" s="219" t="str">
        <f t="shared" si="7"/>
        <v/>
      </c>
    </row>
    <row r="5178" spans="1:2">
      <c r="A5178" s="219" t="str">
        <f t="shared" si="6"/>
        <v/>
      </c>
      <c r="B5178" s="219" t="str">
        <f t="shared" si="7"/>
        <v/>
      </c>
    </row>
    <row r="5179" spans="1:2">
      <c r="A5179" s="219" t="str">
        <f t="shared" si="6"/>
        <v/>
      </c>
      <c r="B5179" s="219" t="str">
        <f t="shared" si="7"/>
        <v/>
      </c>
    </row>
    <row r="5180" spans="1:2">
      <c r="A5180" s="219" t="str">
        <f t="shared" si="6"/>
        <v/>
      </c>
      <c r="B5180" s="219" t="str">
        <f t="shared" si="7"/>
        <v/>
      </c>
    </row>
    <row r="5181" spans="1:2">
      <c r="A5181" s="219" t="str">
        <f t="shared" si="6"/>
        <v/>
      </c>
      <c r="B5181" s="219" t="str">
        <f t="shared" si="7"/>
        <v/>
      </c>
    </row>
    <row r="5182" spans="1:2">
      <c r="A5182" s="219" t="str">
        <f t="shared" si="6"/>
        <v/>
      </c>
      <c r="B5182" s="219" t="str">
        <f t="shared" si="7"/>
        <v/>
      </c>
    </row>
    <row r="5183" spans="1:2">
      <c r="A5183" s="219" t="str">
        <f t="shared" si="6"/>
        <v/>
      </c>
      <c r="B5183" s="219" t="str">
        <f t="shared" si="7"/>
        <v/>
      </c>
    </row>
    <row r="5184" spans="1:2">
      <c r="A5184" s="219" t="str">
        <f t="shared" si="6"/>
        <v/>
      </c>
      <c r="B5184" s="219" t="str">
        <f t="shared" si="7"/>
        <v/>
      </c>
    </row>
    <row r="5185" spans="1:2">
      <c r="A5185" s="219" t="str">
        <f t="shared" si="6"/>
        <v/>
      </c>
      <c r="B5185" s="219" t="str">
        <f t="shared" si="7"/>
        <v/>
      </c>
    </row>
    <row r="5186" spans="1:2">
      <c r="A5186" s="219" t="str">
        <f t="shared" si="6"/>
        <v/>
      </c>
      <c r="B5186" s="219" t="str">
        <f t="shared" si="7"/>
        <v/>
      </c>
    </row>
    <row r="5187" spans="1:2">
      <c r="A5187" s="219" t="str">
        <f t="shared" si="6"/>
        <v/>
      </c>
      <c r="B5187" s="219" t="str">
        <f t="shared" si="7"/>
        <v/>
      </c>
    </row>
    <row r="5188" spans="1:2">
      <c r="A5188" s="219" t="str">
        <f t="shared" si="6"/>
        <v/>
      </c>
      <c r="B5188" s="219" t="str">
        <f t="shared" si="7"/>
        <v/>
      </c>
    </row>
    <row r="5189" spans="1:2">
      <c r="A5189" s="219" t="str">
        <f t="shared" si="6"/>
        <v/>
      </c>
      <c r="B5189" s="219" t="str">
        <f t="shared" si="7"/>
        <v/>
      </c>
    </row>
    <row r="5190" spans="1:2">
      <c r="A5190" s="219" t="str">
        <f t="shared" si="6"/>
        <v/>
      </c>
      <c r="B5190" s="219" t="str">
        <f t="shared" si="7"/>
        <v/>
      </c>
    </row>
    <row r="5191" spans="1:2">
      <c r="A5191" s="219" t="str">
        <f t="shared" si="6"/>
        <v/>
      </c>
      <c r="B5191" s="219" t="str">
        <f t="shared" si="7"/>
        <v/>
      </c>
    </row>
    <row r="5192" spans="1:2">
      <c r="A5192" s="219" t="str">
        <f t="shared" si="6"/>
        <v/>
      </c>
      <c r="B5192" s="219" t="str">
        <f t="shared" si="7"/>
        <v/>
      </c>
    </row>
    <row r="5193" spans="1:2">
      <c r="A5193" s="219" t="str">
        <f t="shared" si="6"/>
        <v/>
      </c>
      <c r="B5193" s="219" t="str">
        <f t="shared" si="7"/>
        <v/>
      </c>
    </row>
    <row r="5194" spans="1:2">
      <c r="A5194" s="219" t="str">
        <f t="shared" si="6"/>
        <v/>
      </c>
      <c r="B5194" s="219" t="str">
        <f t="shared" si="7"/>
        <v/>
      </c>
    </row>
    <row r="5195" spans="1:2">
      <c r="A5195" s="219" t="str">
        <f t="shared" si="6"/>
        <v/>
      </c>
      <c r="B5195" s="219" t="str">
        <f t="shared" si="7"/>
        <v/>
      </c>
    </row>
    <row r="5196" spans="1:2">
      <c r="A5196" s="219" t="str">
        <f t="shared" si="6"/>
        <v/>
      </c>
      <c r="B5196" s="219" t="str">
        <f t="shared" si="7"/>
        <v/>
      </c>
    </row>
    <row r="5197" spans="1:2">
      <c r="A5197" s="219" t="str">
        <f t="shared" si="6"/>
        <v/>
      </c>
      <c r="B5197" s="219" t="str">
        <f t="shared" si="7"/>
        <v/>
      </c>
    </row>
    <row r="5198" spans="1:2">
      <c r="A5198" s="219" t="str">
        <f t="shared" si="6"/>
        <v/>
      </c>
      <c r="B5198" s="219" t="str">
        <f t="shared" si="7"/>
        <v/>
      </c>
    </row>
    <row r="5199" spans="1:2">
      <c r="A5199" s="219" t="str">
        <f t="shared" si="6"/>
        <v/>
      </c>
      <c r="B5199" s="219" t="str">
        <f t="shared" si="7"/>
        <v/>
      </c>
    </row>
    <row r="5200" spans="1:2">
      <c r="A5200" s="219" t="str">
        <f t="shared" si="6"/>
        <v/>
      </c>
      <c r="B5200" s="219" t="str">
        <f t="shared" si="7"/>
        <v/>
      </c>
    </row>
    <row r="5201" spans="1:2">
      <c r="A5201" s="219" t="str">
        <f t="shared" si="6"/>
        <v/>
      </c>
      <c r="B5201" s="219" t="str">
        <f t="shared" si="7"/>
        <v/>
      </c>
    </row>
    <row r="5202" spans="1:2">
      <c r="A5202" s="219" t="str">
        <f t="shared" si="6"/>
        <v/>
      </c>
      <c r="B5202" s="219" t="str">
        <f t="shared" si="7"/>
        <v/>
      </c>
    </row>
    <row r="5203" spans="1:2">
      <c r="A5203" s="219" t="str">
        <f t="shared" si="6"/>
        <v/>
      </c>
      <c r="B5203" s="219" t="str">
        <f t="shared" si="7"/>
        <v/>
      </c>
    </row>
    <row r="5204" spans="1:2">
      <c r="A5204" s="219" t="str">
        <f t="shared" si="6"/>
        <v/>
      </c>
      <c r="B5204" s="219" t="str">
        <f t="shared" si="7"/>
        <v/>
      </c>
    </row>
    <row r="5205" spans="1:2">
      <c r="A5205" s="219" t="str">
        <f t="shared" si="6"/>
        <v/>
      </c>
      <c r="B5205" s="219" t="str">
        <f t="shared" si="7"/>
        <v/>
      </c>
    </row>
    <row r="5206" spans="1:2">
      <c r="A5206" s="219" t="str">
        <f t="shared" si="6"/>
        <v/>
      </c>
      <c r="B5206" s="219" t="str">
        <f t="shared" si="7"/>
        <v/>
      </c>
    </row>
    <row r="5207" spans="1:2">
      <c r="A5207" s="219" t="str">
        <f t="shared" si="6"/>
        <v/>
      </c>
      <c r="B5207" s="219" t="str">
        <f t="shared" si="7"/>
        <v/>
      </c>
    </row>
    <row r="5208" spans="1:2">
      <c r="A5208" s="219" t="str">
        <f t="shared" si="6"/>
        <v/>
      </c>
      <c r="B5208" s="219" t="str">
        <f t="shared" si="7"/>
        <v/>
      </c>
    </row>
    <row r="5209" spans="1:2">
      <c r="A5209" s="219" t="str">
        <f t="shared" si="6"/>
        <v/>
      </c>
      <c r="B5209" s="219" t="str">
        <f t="shared" si="7"/>
        <v/>
      </c>
    </row>
    <row r="5210" spans="1:2">
      <c r="A5210" s="219" t="str">
        <f t="shared" si="6"/>
        <v/>
      </c>
      <c r="B5210" s="219" t="str">
        <f t="shared" si="7"/>
        <v/>
      </c>
    </row>
    <row r="5211" spans="1:2">
      <c r="A5211" s="219" t="str">
        <f t="shared" si="6"/>
        <v/>
      </c>
      <c r="B5211" s="219" t="str">
        <f t="shared" si="7"/>
        <v/>
      </c>
    </row>
    <row r="5212" spans="1:2">
      <c r="A5212" s="219" t="str">
        <f t="shared" si="6"/>
        <v/>
      </c>
      <c r="B5212" s="219" t="str">
        <f t="shared" si="7"/>
        <v/>
      </c>
    </row>
    <row r="5213" spans="1:2">
      <c r="A5213" s="219" t="str">
        <f t="shared" si="6"/>
        <v/>
      </c>
      <c r="B5213" s="219" t="str">
        <f t="shared" si="7"/>
        <v/>
      </c>
    </row>
    <row r="5214" spans="1:2">
      <c r="A5214" s="219" t="str">
        <f t="shared" si="6"/>
        <v/>
      </c>
      <c r="B5214" s="219" t="str">
        <f t="shared" si="7"/>
        <v/>
      </c>
    </row>
    <row r="5215" spans="1:2">
      <c r="A5215" s="219" t="str">
        <f t="shared" si="6"/>
        <v/>
      </c>
      <c r="B5215" s="219" t="str">
        <f t="shared" si="7"/>
        <v/>
      </c>
    </row>
    <row r="5216" spans="1:2">
      <c r="A5216" s="219" t="str">
        <f t="shared" si="6"/>
        <v/>
      </c>
      <c r="B5216" s="219" t="str">
        <f t="shared" si="7"/>
        <v/>
      </c>
    </row>
    <row r="5217" spans="1:2">
      <c r="A5217" s="219" t="str">
        <f t="shared" ref="A5217:A5280" si="8">HYPERLINK("http://tw.stock.yahoo.com/q/ta?s=","")</f>
        <v/>
      </c>
      <c r="B5217" s="219" t="str">
        <f t="shared" ref="B5217:B5280" si="9">HYPERLINK("http://tw.stock.yahoo.com/d/s/earning_.html","")</f>
        <v/>
      </c>
    </row>
    <row r="5218" spans="1:2">
      <c r="A5218" s="219" t="str">
        <f t="shared" si="8"/>
        <v/>
      </c>
      <c r="B5218" s="219" t="str">
        <f t="shared" si="9"/>
        <v/>
      </c>
    </row>
    <row r="5219" spans="1:2">
      <c r="A5219" s="219" t="str">
        <f t="shared" si="8"/>
        <v/>
      </c>
      <c r="B5219" s="219" t="str">
        <f t="shared" si="9"/>
        <v/>
      </c>
    </row>
    <row r="5220" spans="1:2">
      <c r="A5220" s="219" t="str">
        <f t="shared" si="8"/>
        <v/>
      </c>
      <c r="B5220" s="219" t="str">
        <f t="shared" si="9"/>
        <v/>
      </c>
    </row>
    <row r="5221" spans="1:2">
      <c r="A5221" s="219" t="str">
        <f t="shared" si="8"/>
        <v/>
      </c>
      <c r="B5221" s="219" t="str">
        <f t="shared" si="9"/>
        <v/>
      </c>
    </row>
    <row r="5222" spans="1:2">
      <c r="A5222" s="219" t="str">
        <f t="shared" si="8"/>
        <v/>
      </c>
      <c r="B5222" s="219" t="str">
        <f t="shared" si="9"/>
        <v/>
      </c>
    </row>
    <row r="5223" spans="1:2">
      <c r="A5223" s="219" t="str">
        <f t="shared" si="8"/>
        <v/>
      </c>
      <c r="B5223" s="219" t="str">
        <f t="shared" si="9"/>
        <v/>
      </c>
    </row>
    <row r="5224" spans="1:2">
      <c r="A5224" s="219" t="str">
        <f t="shared" si="8"/>
        <v/>
      </c>
      <c r="B5224" s="219" t="str">
        <f t="shared" si="9"/>
        <v/>
      </c>
    </row>
    <row r="5225" spans="1:2">
      <c r="A5225" s="219" t="str">
        <f t="shared" si="8"/>
        <v/>
      </c>
      <c r="B5225" s="219" t="str">
        <f t="shared" si="9"/>
        <v/>
      </c>
    </row>
    <row r="5226" spans="1:2">
      <c r="A5226" s="219" t="str">
        <f t="shared" si="8"/>
        <v/>
      </c>
      <c r="B5226" s="219" t="str">
        <f t="shared" si="9"/>
        <v/>
      </c>
    </row>
    <row r="5227" spans="1:2">
      <c r="A5227" s="219" t="str">
        <f t="shared" si="8"/>
        <v/>
      </c>
      <c r="B5227" s="219" t="str">
        <f t="shared" si="9"/>
        <v/>
      </c>
    </row>
    <row r="5228" spans="1:2">
      <c r="A5228" s="219" t="str">
        <f t="shared" si="8"/>
        <v/>
      </c>
      <c r="B5228" s="219" t="str">
        <f t="shared" si="9"/>
        <v/>
      </c>
    </row>
    <row r="5229" spans="1:2">
      <c r="A5229" s="219" t="str">
        <f t="shared" si="8"/>
        <v/>
      </c>
      <c r="B5229" s="219" t="str">
        <f t="shared" si="9"/>
        <v/>
      </c>
    </row>
    <row r="5230" spans="1:2">
      <c r="A5230" s="219" t="str">
        <f t="shared" si="8"/>
        <v/>
      </c>
      <c r="B5230" s="219" t="str">
        <f t="shared" si="9"/>
        <v/>
      </c>
    </row>
    <row r="5231" spans="1:2">
      <c r="A5231" s="219" t="str">
        <f t="shared" si="8"/>
        <v/>
      </c>
      <c r="B5231" s="219" t="str">
        <f t="shared" si="9"/>
        <v/>
      </c>
    </row>
    <row r="5232" spans="1:2">
      <c r="A5232" s="219" t="str">
        <f t="shared" si="8"/>
        <v/>
      </c>
      <c r="B5232" s="219" t="str">
        <f t="shared" si="9"/>
        <v/>
      </c>
    </row>
    <row r="5233" spans="1:2">
      <c r="A5233" s="219" t="str">
        <f t="shared" si="8"/>
        <v/>
      </c>
      <c r="B5233" s="219" t="str">
        <f t="shared" si="9"/>
        <v/>
      </c>
    </row>
    <row r="5234" spans="1:2">
      <c r="A5234" s="219" t="str">
        <f t="shared" si="8"/>
        <v/>
      </c>
      <c r="B5234" s="219" t="str">
        <f t="shared" si="9"/>
        <v/>
      </c>
    </row>
    <row r="5235" spans="1:2">
      <c r="A5235" s="219" t="str">
        <f t="shared" si="8"/>
        <v/>
      </c>
      <c r="B5235" s="219" t="str">
        <f t="shared" si="9"/>
        <v/>
      </c>
    </row>
    <row r="5236" spans="1:2">
      <c r="A5236" s="219" t="str">
        <f t="shared" si="8"/>
        <v/>
      </c>
      <c r="B5236" s="219" t="str">
        <f t="shared" si="9"/>
        <v/>
      </c>
    </row>
    <row r="5237" spans="1:2">
      <c r="A5237" s="219" t="str">
        <f t="shared" si="8"/>
        <v/>
      </c>
      <c r="B5237" s="219" t="str">
        <f t="shared" si="9"/>
        <v/>
      </c>
    </row>
    <row r="5238" spans="1:2">
      <c r="A5238" s="219" t="str">
        <f t="shared" si="8"/>
        <v/>
      </c>
      <c r="B5238" s="219" t="str">
        <f t="shared" si="9"/>
        <v/>
      </c>
    </row>
    <row r="5239" spans="1:2">
      <c r="A5239" s="219" t="str">
        <f t="shared" si="8"/>
        <v/>
      </c>
      <c r="B5239" s="219" t="str">
        <f t="shared" si="9"/>
        <v/>
      </c>
    </row>
    <row r="5240" spans="1:2">
      <c r="A5240" s="219" t="str">
        <f t="shared" si="8"/>
        <v/>
      </c>
      <c r="B5240" s="219" t="str">
        <f t="shared" si="9"/>
        <v/>
      </c>
    </row>
    <row r="5241" spans="1:2">
      <c r="A5241" s="219" t="str">
        <f t="shared" si="8"/>
        <v/>
      </c>
      <c r="B5241" s="219" t="str">
        <f t="shared" si="9"/>
        <v/>
      </c>
    </row>
    <row r="5242" spans="1:2">
      <c r="A5242" s="219" t="str">
        <f t="shared" si="8"/>
        <v/>
      </c>
      <c r="B5242" s="219" t="str">
        <f t="shared" si="9"/>
        <v/>
      </c>
    </row>
    <row r="5243" spans="1:2">
      <c r="A5243" s="219" t="str">
        <f t="shared" si="8"/>
        <v/>
      </c>
      <c r="B5243" s="219" t="str">
        <f t="shared" si="9"/>
        <v/>
      </c>
    </row>
    <row r="5244" spans="1:2">
      <c r="A5244" s="219" t="str">
        <f t="shared" si="8"/>
        <v/>
      </c>
      <c r="B5244" s="219" t="str">
        <f t="shared" si="9"/>
        <v/>
      </c>
    </row>
    <row r="5245" spans="1:2">
      <c r="A5245" s="219" t="str">
        <f t="shared" si="8"/>
        <v/>
      </c>
      <c r="B5245" s="219" t="str">
        <f t="shared" si="9"/>
        <v/>
      </c>
    </row>
    <row r="5246" spans="1:2">
      <c r="A5246" s="219" t="str">
        <f t="shared" si="8"/>
        <v/>
      </c>
      <c r="B5246" s="219" t="str">
        <f t="shared" si="9"/>
        <v/>
      </c>
    </row>
    <row r="5247" spans="1:2">
      <c r="A5247" s="219" t="str">
        <f t="shared" si="8"/>
        <v/>
      </c>
      <c r="B5247" s="219" t="str">
        <f t="shared" si="9"/>
        <v/>
      </c>
    </row>
    <row r="5248" spans="1:2">
      <c r="A5248" s="219" t="str">
        <f t="shared" si="8"/>
        <v/>
      </c>
      <c r="B5248" s="219" t="str">
        <f t="shared" si="9"/>
        <v/>
      </c>
    </row>
    <row r="5249" spans="1:2">
      <c r="A5249" s="219" t="str">
        <f t="shared" si="8"/>
        <v/>
      </c>
      <c r="B5249" s="219" t="str">
        <f t="shared" si="9"/>
        <v/>
      </c>
    </row>
    <row r="5250" spans="1:2">
      <c r="A5250" s="219" t="str">
        <f t="shared" si="8"/>
        <v/>
      </c>
      <c r="B5250" s="219" t="str">
        <f t="shared" si="9"/>
        <v/>
      </c>
    </row>
    <row r="5251" spans="1:2">
      <c r="A5251" s="219" t="str">
        <f t="shared" si="8"/>
        <v/>
      </c>
      <c r="B5251" s="219" t="str">
        <f t="shared" si="9"/>
        <v/>
      </c>
    </row>
    <row r="5252" spans="1:2">
      <c r="A5252" s="219" t="str">
        <f t="shared" si="8"/>
        <v/>
      </c>
      <c r="B5252" s="219" t="str">
        <f t="shared" si="9"/>
        <v/>
      </c>
    </row>
    <row r="5253" spans="1:2">
      <c r="A5253" s="219" t="str">
        <f t="shared" si="8"/>
        <v/>
      </c>
      <c r="B5253" s="219" t="str">
        <f t="shared" si="9"/>
        <v/>
      </c>
    </row>
    <row r="5254" spans="1:2">
      <c r="A5254" s="219" t="str">
        <f t="shared" si="8"/>
        <v/>
      </c>
      <c r="B5254" s="219" t="str">
        <f t="shared" si="9"/>
        <v/>
      </c>
    </row>
    <row r="5255" spans="1:2">
      <c r="A5255" s="219" t="str">
        <f t="shared" si="8"/>
        <v/>
      </c>
      <c r="B5255" s="219" t="str">
        <f t="shared" si="9"/>
        <v/>
      </c>
    </row>
    <row r="5256" spans="1:2">
      <c r="A5256" s="219" t="str">
        <f t="shared" si="8"/>
        <v/>
      </c>
      <c r="B5256" s="219" t="str">
        <f t="shared" si="9"/>
        <v/>
      </c>
    </row>
    <row r="5257" spans="1:2">
      <c r="A5257" s="219" t="str">
        <f t="shared" si="8"/>
        <v/>
      </c>
      <c r="B5257" s="219" t="str">
        <f t="shared" si="9"/>
        <v/>
      </c>
    </row>
    <row r="5258" spans="1:2">
      <c r="A5258" s="219" t="str">
        <f t="shared" si="8"/>
        <v/>
      </c>
      <c r="B5258" s="219" t="str">
        <f t="shared" si="9"/>
        <v/>
      </c>
    </row>
    <row r="5259" spans="1:2">
      <c r="A5259" s="219" t="str">
        <f t="shared" si="8"/>
        <v/>
      </c>
      <c r="B5259" s="219" t="str">
        <f t="shared" si="9"/>
        <v/>
      </c>
    </row>
    <row r="5260" spans="1:2">
      <c r="A5260" s="219" t="str">
        <f t="shared" si="8"/>
        <v/>
      </c>
      <c r="B5260" s="219" t="str">
        <f t="shared" si="9"/>
        <v/>
      </c>
    </row>
    <row r="5261" spans="1:2">
      <c r="A5261" s="219" t="str">
        <f t="shared" si="8"/>
        <v/>
      </c>
      <c r="B5261" s="219" t="str">
        <f t="shared" si="9"/>
        <v/>
      </c>
    </row>
    <row r="5262" spans="1:2">
      <c r="A5262" s="219" t="str">
        <f t="shared" si="8"/>
        <v/>
      </c>
      <c r="B5262" s="219" t="str">
        <f t="shared" si="9"/>
        <v/>
      </c>
    </row>
    <row r="5263" spans="1:2">
      <c r="A5263" s="219" t="str">
        <f t="shared" si="8"/>
        <v/>
      </c>
      <c r="B5263" s="219" t="str">
        <f t="shared" si="9"/>
        <v/>
      </c>
    </row>
    <row r="5264" spans="1:2">
      <c r="A5264" s="219" t="str">
        <f t="shared" si="8"/>
        <v/>
      </c>
      <c r="B5264" s="219" t="str">
        <f t="shared" si="9"/>
        <v/>
      </c>
    </row>
    <row r="5265" spans="1:2">
      <c r="A5265" s="219" t="str">
        <f t="shared" si="8"/>
        <v/>
      </c>
      <c r="B5265" s="219" t="str">
        <f t="shared" si="9"/>
        <v/>
      </c>
    </row>
    <row r="5266" spans="1:2">
      <c r="A5266" s="219" t="str">
        <f t="shared" si="8"/>
        <v/>
      </c>
      <c r="B5266" s="219" t="str">
        <f t="shared" si="9"/>
        <v/>
      </c>
    </row>
    <row r="5267" spans="1:2">
      <c r="A5267" s="219" t="str">
        <f t="shared" si="8"/>
        <v/>
      </c>
      <c r="B5267" s="219" t="str">
        <f t="shared" si="9"/>
        <v/>
      </c>
    </row>
    <row r="5268" spans="1:2">
      <c r="A5268" s="219" t="str">
        <f t="shared" si="8"/>
        <v/>
      </c>
      <c r="B5268" s="219" t="str">
        <f t="shared" si="9"/>
        <v/>
      </c>
    </row>
    <row r="5269" spans="1:2">
      <c r="A5269" s="219" t="str">
        <f t="shared" si="8"/>
        <v/>
      </c>
      <c r="B5269" s="219" t="str">
        <f t="shared" si="9"/>
        <v/>
      </c>
    </row>
    <row r="5270" spans="1:2">
      <c r="A5270" s="219" t="str">
        <f t="shared" si="8"/>
        <v/>
      </c>
      <c r="B5270" s="219" t="str">
        <f t="shared" si="9"/>
        <v/>
      </c>
    </row>
    <row r="5271" spans="1:2">
      <c r="A5271" s="219" t="str">
        <f t="shared" si="8"/>
        <v/>
      </c>
      <c r="B5271" s="219" t="str">
        <f t="shared" si="9"/>
        <v/>
      </c>
    </row>
    <row r="5272" spans="1:2">
      <c r="A5272" s="219" t="str">
        <f t="shared" si="8"/>
        <v/>
      </c>
      <c r="B5272" s="219" t="str">
        <f t="shared" si="9"/>
        <v/>
      </c>
    </row>
    <row r="5273" spans="1:2">
      <c r="A5273" s="219" t="str">
        <f t="shared" si="8"/>
        <v/>
      </c>
      <c r="B5273" s="219" t="str">
        <f t="shared" si="9"/>
        <v/>
      </c>
    </row>
    <row r="5274" spans="1:2">
      <c r="A5274" s="219" t="str">
        <f t="shared" si="8"/>
        <v/>
      </c>
      <c r="B5274" s="219" t="str">
        <f t="shared" si="9"/>
        <v/>
      </c>
    </row>
    <row r="5275" spans="1:2">
      <c r="A5275" s="219" t="str">
        <f t="shared" si="8"/>
        <v/>
      </c>
      <c r="B5275" s="219" t="str">
        <f t="shared" si="9"/>
        <v/>
      </c>
    </row>
    <row r="5276" spans="1:2">
      <c r="A5276" s="219" t="str">
        <f t="shared" si="8"/>
        <v/>
      </c>
      <c r="B5276" s="219" t="str">
        <f t="shared" si="9"/>
        <v/>
      </c>
    </row>
    <row r="5277" spans="1:2">
      <c r="A5277" s="219" t="str">
        <f t="shared" si="8"/>
        <v/>
      </c>
      <c r="B5277" s="219" t="str">
        <f t="shared" si="9"/>
        <v/>
      </c>
    </row>
    <row r="5278" spans="1:2">
      <c r="A5278" s="219" t="str">
        <f t="shared" si="8"/>
        <v/>
      </c>
      <c r="B5278" s="219" t="str">
        <f t="shared" si="9"/>
        <v/>
      </c>
    </row>
    <row r="5279" spans="1:2">
      <c r="A5279" s="219" t="str">
        <f t="shared" si="8"/>
        <v/>
      </c>
      <c r="B5279" s="219" t="str">
        <f t="shared" si="9"/>
        <v/>
      </c>
    </row>
    <row r="5280" spans="1:2">
      <c r="A5280" s="219" t="str">
        <f t="shared" si="8"/>
        <v/>
      </c>
      <c r="B5280" s="219" t="str">
        <f t="shared" si="9"/>
        <v/>
      </c>
    </row>
    <row r="5281" spans="1:2">
      <c r="A5281" s="219" t="str">
        <f t="shared" ref="A5281:A5344" si="10">HYPERLINK("http://tw.stock.yahoo.com/q/ta?s=","")</f>
        <v/>
      </c>
      <c r="B5281" s="219" t="str">
        <f t="shared" ref="B5281:B5344" si="11">HYPERLINK("http://tw.stock.yahoo.com/d/s/earning_.html","")</f>
        <v/>
      </c>
    </row>
    <row r="5282" spans="1:2">
      <c r="A5282" s="219" t="str">
        <f t="shared" si="10"/>
        <v/>
      </c>
      <c r="B5282" s="219" t="str">
        <f t="shared" si="11"/>
        <v/>
      </c>
    </row>
    <row r="5283" spans="1:2">
      <c r="A5283" s="219" t="str">
        <f t="shared" si="10"/>
        <v/>
      </c>
      <c r="B5283" s="219" t="str">
        <f t="shared" si="11"/>
        <v/>
      </c>
    </row>
    <row r="5284" spans="1:2">
      <c r="A5284" s="219" t="str">
        <f t="shared" si="10"/>
        <v/>
      </c>
      <c r="B5284" s="219" t="str">
        <f t="shared" si="11"/>
        <v/>
      </c>
    </row>
    <row r="5285" spans="1:2">
      <c r="A5285" s="219" t="str">
        <f t="shared" si="10"/>
        <v/>
      </c>
      <c r="B5285" s="219" t="str">
        <f t="shared" si="11"/>
        <v/>
      </c>
    </row>
    <row r="5286" spans="1:2">
      <c r="A5286" s="219" t="str">
        <f t="shared" si="10"/>
        <v/>
      </c>
      <c r="B5286" s="219" t="str">
        <f t="shared" si="11"/>
        <v/>
      </c>
    </row>
    <row r="5287" spans="1:2">
      <c r="A5287" s="219" t="str">
        <f t="shared" si="10"/>
        <v/>
      </c>
      <c r="B5287" s="219" t="str">
        <f t="shared" si="11"/>
        <v/>
      </c>
    </row>
    <row r="5288" spans="1:2">
      <c r="A5288" s="219" t="str">
        <f t="shared" si="10"/>
        <v/>
      </c>
      <c r="B5288" s="219" t="str">
        <f t="shared" si="11"/>
        <v/>
      </c>
    </row>
    <row r="5289" spans="1:2">
      <c r="A5289" s="219" t="str">
        <f t="shared" si="10"/>
        <v/>
      </c>
      <c r="B5289" s="219" t="str">
        <f t="shared" si="11"/>
        <v/>
      </c>
    </row>
    <row r="5290" spans="1:2">
      <c r="A5290" s="219" t="str">
        <f t="shared" si="10"/>
        <v/>
      </c>
      <c r="B5290" s="219" t="str">
        <f t="shared" si="11"/>
        <v/>
      </c>
    </row>
    <row r="5291" spans="1:2">
      <c r="A5291" s="219" t="str">
        <f t="shared" si="10"/>
        <v/>
      </c>
      <c r="B5291" s="219" t="str">
        <f t="shared" si="11"/>
        <v/>
      </c>
    </row>
    <row r="5292" spans="1:2">
      <c r="A5292" s="219" t="str">
        <f t="shared" si="10"/>
        <v/>
      </c>
      <c r="B5292" s="219" t="str">
        <f t="shared" si="11"/>
        <v/>
      </c>
    </row>
    <row r="5293" spans="1:2">
      <c r="A5293" s="219" t="str">
        <f t="shared" si="10"/>
        <v/>
      </c>
      <c r="B5293" s="219" t="str">
        <f t="shared" si="11"/>
        <v/>
      </c>
    </row>
    <row r="5294" spans="1:2">
      <c r="A5294" s="219" t="str">
        <f t="shared" si="10"/>
        <v/>
      </c>
      <c r="B5294" s="219" t="str">
        <f t="shared" si="11"/>
        <v/>
      </c>
    </row>
    <row r="5295" spans="1:2">
      <c r="A5295" s="219" t="str">
        <f t="shared" si="10"/>
        <v/>
      </c>
      <c r="B5295" s="219" t="str">
        <f t="shared" si="11"/>
        <v/>
      </c>
    </row>
    <row r="5296" spans="1:2">
      <c r="A5296" s="219" t="str">
        <f t="shared" si="10"/>
        <v/>
      </c>
      <c r="B5296" s="219" t="str">
        <f t="shared" si="11"/>
        <v/>
      </c>
    </row>
    <row r="5297" spans="1:2">
      <c r="A5297" s="219" t="str">
        <f t="shared" si="10"/>
        <v/>
      </c>
      <c r="B5297" s="219" t="str">
        <f t="shared" si="11"/>
        <v/>
      </c>
    </row>
    <row r="5298" spans="1:2">
      <c r="A5298" s="219" t="str">
        <f t="shared" si="10"/>
        <v/>
      </c>
      <c r="B5298" s="219" t="str">
        <f t="shared" si="11"/>
        <v/>
      </c>
    </row>
    <row r="5299" spans="1:2">
      <c r="A5299" s="219" t="str">
        <f t="shared" si="10"/>
        <v/>
      </c>
      <c r="B5299" s="219" t="str">
        <f t="shared" si="11"/>
        <v/>
      </c>
    </row>
    <row r="5300" spans="1:2">
      <c r="A5300" s="219" t="str">
        <f t="shared" si="10"/>
        <v/>
      </c>
      <c r="B5300" s="219" t="str">
        <f t="shared" si="11"/>
        <v/>
      </c>
    </row>
    <row r="5301" spans="1:2">
      <c r="A5301" s="219" t="str">
        <f t="shared" si="10"/>
        <v/>
      </c>
      <c r="B5301" s="219" t="str">
        <f t="shared" si="11"/>
        <v/>
      </c>
    </row>
    <row r="5302" spans="1:2">
      <c r="A5302" s="219" t="str">
        <f t="shared" si="10"/>
        <v/>
      </c>
      <c r="B5302" s="219" t="str">
        <f t="shared" si="11"/>
        <v/>
      </c>
    </row>
    <row r="5303" spans="1:2">
      <c r="A5303" s="219" t="str">
        <f t="shared" si="10"/>
        <v/>
      </c>
      <c r="B5303" s="219" t="str">
        <f t="shared" si="11"/>
        <v/>
      </c>
    </row>
    <row r="5304" spans="1:2">
      <c r="A5304" s="219" t="str">
        <f t="shared" si="10"/>
        <v/>
      </c>
      <c r="B5304" s="219" t="str">
        <f t="shared" si="11"/>
        <v/>
      </c>
    </row>
    <row r="5305" spans="1:2">
      <c r="A5305" s="219" t="str">
        <f t="shared" si="10"/>
        <v/>
      </c>
      <c r="B5305" s="219" t="str">
        <f t="shared" si="11"/>
        <v/>
      </c>
    </row>
    <row r="5306" spans="1:2">
      <c r="A5306" s="219" t="str">
        <f t="shared" si="10"/>
        <v/>
      </c>
      <c r="B5306" s="219" t="str">
        <f t="shared" si="11"/>
        <v/>
      </c>
    </row>
    <row r="5307" spans="1:2">
      <c r="A5307" s="219" t="str">
        <f t="shared" si="10"/>
        <v/>
      </c>
      <c r="B5307" s="219" t="str">
        <f t="shared" si="11"/>
        <v/>
      </c>
    </row>
    <row r="5308" spans="1:2">
      <c r="A5308" s="219" t="str">
        <f t="shared" si="10"/>
        <v/>
      </c>
      <c r="B5308" s="219" t="str">
        <f t="shared" si="11"/>
        <v/>
      </c>
    </row>
    <row r="5309" spans="1:2">
      <c r="A5309" s="219" t="str">
        <f t="shared" si="10"/>
        <v/>
      </c>
      <c r="B5309" s="219" t="str">
        <f t="shared" si="11"/>
        <v/>
      </c>
    </row>
    <row r="5310" spans="1:2">
      <c r="A5310" s="219" t="str">
        <f t="shared" si="10"/>
        <v/>
      </c>
      <c r="B5310" s="219" t="str">
        <f t="shared" si="11"/>
        <v/>
      </c>
    </row>
    <row r="5311" spans="1:2">
      <c r="A5311" s="219" t="str">
        <f t="shared" si="10"/>
        <v/>
      </c>
      <c r="B5311" s="219" t="str">
        <f t="shared" si="11"/>
        <v/>
      </c>
    </row>
    <row r="5312" spans="1:2">
      <c r="A5312" s="219" t="str">
        <f t="shared" si="10"/>
        <v/>
      </c>
      <c r="B5312" s="219" t="str">
        <f t="shared" si="11"/>
        <v/>
      </c>
    </row>
    <row r="5313" spans="1:2">
      <c r="A5313" s="219" t="str">
        <f t="shared" si="10"/>
        <v/>
      </c>
      <c r="B5313" s="219" t="str">
        <f t="shared" si="11"/>
        <v/>
      </c>
    </row>
    <row r="5314" spans="1:2">
      <c r="A5314" s="219" t="str">
        <f t="shared" si="10"/>
        <v/>
      </c>
      <c r="B5314" s="219" t="str">
        <f t="shared" si="11"/>
        <v/>
      </c>
    </row>
    <row r="5315" spans="1:2">
      <c r="A5315" s="219" t="str">
        <f t="shared" si="10"/>
        <v/>
      </c>
      <c r="B5315" s="219" t="str">
        <f t="shared" si="11"/>
        <v/>
      </c>
    </row>
    <row r="5316" spans="1:2">
      <c r="A5316" s="219" t="str">
        <f t="shared" si="10"/>
        <v/>
      </c>
      <c r="B5316" s="219" t="str">
        <f t="shared" si="11"/>
        <v/>
      </c>
    </row>
    <row r="5317" spans="1:2">
      <c r="A5317" s="219" t="str">
        <f t="shared" si="10"/>
        <v/>
      </c>
      <c r="B5317" s="219" t="str">
        <f t="shared" si="11"/>
        <v/>
      </c>
    </row>
    <row r="5318" spans="1:2">
      <c r="A5318" s="219" t="str">
        <f t="shared" si="10"/>
        <v/>
      </c>
      <c r="B5318" s="219" t="str">
        <f t="shared" si="11"/>
        <v/>
      </c>
    </row>
    <row r="5319" spans="1:2">
      <c r="A5319" s="219" t="str">
        <f t="shared" si="10"/>
        <v/>
      </c>
      <c r="B5319" s="219" t="str">
        <f t="shared" si="11"/>
        <v/>
      </c>
    </row>
    <row r="5320" spans="1:2">
      <c r="A5320" s="219" t="str">
        <f t="shared" si="10"/>
        <v/>
      </c>
      <c r="B5320" s="219" t="str">
        <f t="shared" si="11"/>
        <v/>
      </c>
    </row>
    <row r="5321" spans="1:2">
      <c r="A5321" s="219" t="str">
        <f t="shared" si="10"/>
        <v/>
      </c>
      <c r="B5321" s="219" t="str">
        <f t="shared" si="11"/>
        <v/>
      </c>
    </row>
    <row r="5322" spans="1:2">
      <c r="A5322" s="219" t="str">
        <f t="shared" si="10"/>
        <v/>
      </c>
      <c r="B5322" s="219" t="str">
        <f t="shared" si="11"/>
        <v/>
      </c>
    </row>
    <row r="5323" spans="1:2">
      <c r="A5323" s="219" t="str">
        <f t="shared" si="10"/>
        <v/>
      </c>
      <c r="B5323" s="219" t="str">
        <f t="shared" si="11"/>
        <v/>
      </c>
    </row>
    <row r="5324" spans="1:2">
      <c r="A5324" s="219" t="str">
        <f t="shared" si="10"/>
        <v/>
      </c>
      <c r="B5324" s="219" t="str">
        <f t="shared" si="11"/>
        <v/>
      </c>
    </row>
    <row r="5325" spans="1:2">
      <c r="A5325" s="219" t="str">
        <f t="shared" si="10"/>
        <v/>
      </c>
      <c r="B5325" s="219" t="str">
        <f t="shared" si="11"/>
        <v/>
      </c>
    </row>
    <row r="5326" spans="1:2">
      <c r="A5326" s="219" t="str">
        <f t="shared" si="10"/>
        <v/>
      </c>
      <c r="B5326" s="219" t="str">
        <f t="shared" si="11"/>
        <v/>
      </c>
    </row>
    <row r="5327" spans="1:2">
      <c r="A5327" s="219" t="str">
        <f t="shared" si="10"/>
        <v/>
      </c>
      <c r="B5327" s="219" t="str">
        <f t="shared" si="11"/>
        <v/>
      </c>
    </row>
    <row r="5328" spans="1:2">
      <c r="A5328" s="219" t="str">
        <f t="shared" si="10"/>
        <v/>
      </c>
      <c r="B5328" s="219" t="str">
        <f t="shared" si="11"/>
        <v/>
      </c>
    </row>
    <row r="5329" spans="1:2">
      <c r="A5329" s="219" t="str">
        <f t="shared" si="10"/>
        <v/>
      </c>
      <c r="B5329" s="219" t="str">
        <f t="shared" si="11"/>
        <v/>
      </c>
    </row>
    <row r="5330" spans="1:2">
      <c r="A5330" s="219" t="str">
        <f t="shared" si="10"/>
        <v/>
      </c>
      <c r="B5330" s="219" t="str">
        <f t="shared" si="11"/>
        <v/>
      </c>
    </row>
    <row r="5331" spans="1:2">
      <c r="A5331" s="219" t="str">
        <f t="shared" si="10"/>
        <v/>
      </c>
      <c r="B5331" s="219" t="str">
        <f t="shared" si="11"/>
        <v/>
      </c>
    </row>
    <row r="5332" spans="1:2">
      <c r="A5332" s="219" t="str">
        <f t="shared" si="10"/>
        <v/>
      </c>
      <c r="B5332" s="219" t="str">
        <f t="shared" si="11"/>
        <v/>
      </c>
    </row>
    <row r="5333" spans="1:2">
      <c r="A5333" s="219" t="str">
        <f t="shared" si="10"/>
        <v/>
      </c>
      <c r="B5333" s="219" t="str">
        <f t="shared" si="11"/>
        <v/>
      </c>
    </row>
    <row r="5334" spans="1:2">
      <c r="A5334" s="219" t="str">
        <f t="shared" si="10"/>
        <v/>
      </c>
      <c r="B5334" s="219" t="str">
        <f t="shared" si="11"/>
        <v/>
      </c>
    </row>
    <row r="5335" spans="1:2">
      <c r="A5335" s="219" t="str">
        <f t="shared" si="10"/>
        <v/>
      </c>
      <c r="B5335" s="219" t="str">
        <f t="shared" si="11"/>
        <v/>
      </c>
    </row>
    <row r="5336" spans="1:2">
      <c r="A5336" s="219" t="str">
        <f t="shared" si="10"/>
        <v/>
      </c>
      <c r="B5336" s="219" t="str">
        <f t="shared" si="11"/>
        <v/>
      </c>
    </row>
    <row r="5337" spans="1:2">
      <c r="A5337" s="219" t="str">
        <f t="shared" si="10"/>
        <v/>
      </c>
      <c r="B5337" s="219" t="str">
        <f t="shared" si="11"/>
        <v/>
      </c>
    </row>
    <row r="5338" spans="1:2">
      <c r="A5338" s="219" t="str">
        <f t="shared" si="10"/>
        <v/>
      </c>
      <c r="B5338" s="219" t="str">
        <f t="shared" si="11"/>
        <v/>
      </c>
    </row>
    <row r="5339" spans="1:2">
      <c r="A5339" s="219" t="str">
        <f t="shared" si="10"/>
        <v/>
      </c>
      <c r="B5339" s="219" t="str">
        <f t="shared" si="11"/>
        <v/>
      </c>
    </row>
    <row r="5340" spans="1:2">
      <c r="A5340" s="219" t="str">
        <f t="shared" si="10"/>
        <v/>
      </c>
      <c r="B5340" s="219" t="str">
        <f t="shared" si="11"/>
        <v/>
      </c>
    </row>
    <row r="5341" spans="1:2">
      <c r="A5341" s="219" t="str">
        <f t="shared" si="10"/>
        <v/>
      </c>
      <c r="B5341" s="219" t="str">
        <f t="shared" si="11"/>
        <v/>
      </c>
    </row>
    <row r="5342" spans="1:2">
      <c r="A5342" s="219" t="str">
        <f t="shared" si="10"/>
        <v/>
      </c>
      <c r="B5342" s="219" t="str">
        <f t="shared" si="11"/>
        <v/>
      </c>
    </row>
    <row r="5343" spans="1:2">
      <c r="A5343" s="219" t="str">
        <f t="shared" si="10"/>
        <v/>
      </c>
      <c r="B5343" s="219" t="str">
        <f t="shared" si="11"/>
        <v/>
      </c>
    </row>
    <row r="5344" spans="1:2">
      <c r="A5344" s="219" t="str">
        <f t="shared" si="10"/>
        <v/>
      </c>
      <c r="B5344" s="219" t="str">
        <f t="shared" si="11"/>
        <v/>
      </c>
    </row>
    <row r="5345" spans="1:2">
      <c r="A5345" s="219" t="str">
        <f t="shared" ref="A5345:A5408" si="12">HYPERLINK("http://tw.stock.yahoo.com/q/ta?s=","")</f>
        <v/>
      </c>
      <c r="B5345" s="219" t="str">
        <f t="shared" ref="B5345:B5408" si="13">HYPERLINK("http://tw.stock.yahoo.com/d/s/earning_.html","")</f>
        <v/>
      </c>
    </row>
    <row r="5346" spans="1:2">
      <c r="A5346" s="219" t="str">
        <f t="shared" si="12"/>
        <v/>
      </c>
      <c r="B5346" s="219" t="str">
        <f t="shared" si="13"/>
        <v/>
      </c>
    </row>
    <row r="5347" spans="1:2">
      <c r="A5347" s="219" t="str">
        <f t="shared" si="12"/>
        <v/>
      </c>
      <c r="B5347" s="219" t="str">
        <f t="shared" si="13"/>
        <v/>
      </c>
    </row>
    <row r="5348" spans="1:2">
      <c r="A5348" s="219" t="str">
        <f t="shared" si="12"/>
        <v/>
      </c>
      <c r="B5348" s="219" t="str">
        <f t="shared" si="13"/>
        <v/>
      </c>
    </row>
    <row r="5349" spans="1:2">
      <c r="A5349" s="219" t="str">
        <f t="shared" si="12"/>
        <v/>
      </c>
      <c r="B5349" s="219" t="str">
        <f t="shared" si="13"/>
        <v/>
      </c>
    </row>
    <row r="5350" spans="1:2">
      <c r="A5350" s="219" t="str">
        <f t="shared" si="12"/>
        <v/>
      </c>
      <c r="B5350" s="219" t="str">
        <f t="shared" si="13"/>
        <v/>
      </c>
    </row>
    <row r="5351" spans="1:2">
      <c r="A5351" s="219" t="str">
        <f t="shared" si="12"/>
        <v/>
      </c>
      <c r="B5351" s="219" t="str">
        <f t="shared" si="13"/>
        <v/>
      </c>
    </row>
    <row r="5352" spans="1:2">
      <c r="A5352" s="219" t="str">
        <f t="shared" si="12"/>
        <v/>
      </c>
      <c r="B5352" s="219" t="str">
        <f t="shared" si="13"/>
        <v/>
      </c>
    </row>
    <row r="5353" spans="1:2">
      <c r="A5353" s="219" t="str">
        <f t="shared" si="12"/>
        <v/>
      </c>
      <c r="B5353" s="219" t="str">
        <f t="shared" si="13"/>
        <v/>
      </c>
    </row>
    <row r="5354" spans="1:2">
      <c r="A5354" s="219" t="str">
        <f t="shared" si="12"/>
        <v/>
      </c>
      <c r="B5354" s="219" t="str">
        <f t="shared" si="13"/>
        <v/>
      </c>
    </row>
    <row r="5355" spans="1:2">
      <c r="A5355" s="219" t="str">
        <f t="shared" si="12"/>
        <v/>
      </c>
      <c r="B5355" s="219" t="str">
        <f t="shared" si="13"/>
        <v/>
      </c>
    </row>
    <row r="5356" spans="1:2">
      <c r="A5356" s="219" t="str">
        <f t="shared" si="12"/>
        <v/>
      </c>
      <c r="B5356" s="219" t="str">
        <f t="shared" si="13"/>
        <v/>
      </c>
    </row>
    <row r="5357" spans="1:2">
      <c r="A5357" s="219" t="str">
        <f t="shared" si="12"/>
        <v/>
      </c>
      <c r="B5357" s="219" t="str">
        <f t="shared" si="13"/>
        <v/>
      </c>
    </row>
    <row r="5358" spans="1:2">
      <c r="A5358" s="219" t="str">
        <f t="shared" si="12"/>
        <v/>
      </c>
      <c r="B5358" s="219" t="str">
        <f t="shared" si="13"/>
        <v/>
      </c>
    </row>
    <row r="5359" spans="1:2">
      <c r="A5359" s="219" t="str">
        <f t="shared" si="12"/>
        <v/>
      </c>
      <c r="B5359" s="219" t="str">
        <f t="shared" si="13"/>
        <v/>
      </c>
    </row>
    <row r="5360" spans="1:2">
      <c r="A5360" s="219" t="str">
        <f t="shared" si="12"/>
        <v/>
      </c>
      <c r="B5360" s="219" t="str">
        <f t="shared" si="13"/>
        <v/>
      </c>
    </row>
    <row r="5361" spans="1:2">
      <c r="A5361" s="219" t="str">
        <f t="shared" si="12"/>
        <v/>
      </c>
      <c r="B5361" s="219" t="str">
        <f t="shared" si="13"/>
        <v/>
      </c>
    </row>
    <row r="5362" spans="1:2">
      <c r="A5362" s="219" t="str">
        <f t="shared" si="12"/>
        <v/>
      </c>
      <c r="B5362" s="219" t="str">
        <f t="shared" si="13"/>
        <v/>
      </c>
    </row>
    <row r="5363" spans="1:2">
      <c r="A5363" s="219" t="str">
        <f t="shared" si="12"/>
        <v/>
      </c>
      <c r="B5363" s="219" t="str">
        <f t="shared" si="13"/>
        <v/>
      </c>
    </row>
    <row r="5364" spans="1:2">
      <c r="A5364" s="219" t="str">
        <f t="shared" si="12"/>
        <v/>
      </c>
      <c r="B5364" s="219" t="str">
        <f t="shared" si="13"/>
        <v/>
      </c>
    </row>
    <row r="5365" spans="1:2">
      <c r="A5365" s="219" t="str">
        <f t="shared" si="12"/>
        <v/>
      </c>
      <c r="B5365" s="219" t="str">
        <f t="shared" si="13"/>
        <v/>
      </c>
    </row>
    <row r="5366" spans="1:2">
      <c r="A5366" s="219" t="str">
        <f t="shared" si="12"/>
        <v/>
      </c>
      <c r="B5366" s="219" t="str">
        <f t="shared" si="13"/>
        <v/>
      </c>
    </row>
    <row r="5367" spans="1:2">
      <c r="A5367" s="219" t="str">
        <f t="shared" si="12"/>
        <v/>
      </c>
      <c r="B5367" s="219" t="str">
        <f t="shared" si="13"/>
        <v/>
      </c>
    </row>
    <row r="5368" spans="1:2">
      <c r="A5368" s="219" t="str">
        <f t="shared" si="12"/>
        <v/>
      </c>
      <c r="B5368" s="219" t="str">
        <f t="shared" si="13"/>
        <v/>
      </c>
    </row>
    <row r="5369" spans="1:2">
      <c r="A5369" s="219" t="str">
        <f t="shared" si="12"/>
        <v/>
      </c>
      <c r="B5369" s="219" t="str">
        <f t="shared" si="13"/>
        <v/>
      </c>
    </row>
    <row r="5370" spans="1:2">
      <c r="A5370" s="219" t="str">
        <f t="shared" si="12"/>
        <v/>
      </c>
      <c r="B5370" s="219" t="str">
        <f t="shared" si="13"/>
        <v/>
      </c>
    </row>
    <row r="5371" spans="1:2">
      <c r="A5371" s="219" t="str">
        <f t="shared" si="12"/>
        <v/>
      </c>
      <c r="B5371" s="219" t="str">
        <f t="shared" si="13"/>
        <v/>
      </c>
    </row>
    <row r="5372" spans="1:2">
      <c r="A5372" s="219" t="str">
        <f t="shared" si="12"/>
        <v/>
      </c>
      <c r="B5372" s="219" t="str">
        <f t="shared" si="13"/>
        <v/>
      </c>
    </row>
    <row r="5373" spans="1:2">
      <c r="A5373" s="219" t="str">
        <f t="shared" si="12"/>
        <v/>
      </c>
      <c r="B5373" s="219" t="str">
        <f t="shared" si="13"/>
        <v/>
      </c>
    </row>
    <row r="5374" spans="1:2">
      <c r="A5374" s="219" t="str">
        <f t="shared" si="12"/>
        <v/>
      </c>
      <c r="B5374" s="219" t="str">
        <f t="shared" si="13"/>
        <v/>
      </c>
    </row>
    <row r="5375" spans="1:2">
      <c r="A5375" s="219" t="str">
        <f t="shared" si="12"/>
        <v/>
      </c>
      <c r="B5375" s="219" t="str">
        <f t="shared" si="13"/>
        <v/>
      </c>
    </row>
    <row r="5376" spans="1:2">
      <c r="A5376" s="219" t="str">
        <f t="shared" si="12"/>
        <v/>
      </c>
      <c r="B5376" s="219" t="str">
        <f t="shared" si="13"/>
        <v/>
      </c>
    </row>
    <row r="5377" spans="1:2">
      <c r="A5377" s="219" t="str">
        <f t="shared" si="12"/>
        <v/>
      </c>
      <c r="B5377" s="219" t="str">
        <f t="shared" si="13"/>
        <v/>
      </c>
    </row>
    <row r="5378" spans="1:2">
      <c r="A5378" s="219" t="str">
        <f t="shared" si="12"/>
        <v/>
      </c>
      <c r="B5378" s="219" t="str">
        <f t="shared" si="13"/>
        <v/>
      </c>
    </row>
    <row r="5379" spans="1:2">
      <c r="A5379" s="219" t="str">
        <f t="shared" si="12"/>
        <v/>
      </c>
      <c r="B5379" s="219" t="str">
        <f t="shared" si="13"/>
        <v/>
      </c>
    </row>
    <row r="5380" spans="1:2">
      <c r="A5380" s="219" t="str">
        <f t="shared" si="12"/>
        <v/>
      </c>
      <c r="B5380" s="219" t="str">
        <f t="shared" si="13"/>
        <v/>
      </c>
    </row>
    <row r="5381" spans="1:2">
      <c r="A5381" s="219" t="str">
        <f t="shared" si="12"/>
        <v/>
      </c>
      <c r="B5381" s="219" t="str">
        <f t="shared" si="13"/>
        <v/>
      </c>
    </row>
    <row r="5382" spans="1:2">
      <c r="A5382" s="219" t="str">
        <f t="shared" si="12"/>
        <v/>
      </c>
      <c r="B5382" s="219" t="str">
        <f t="shared" si="13"/>
        <v/>
      </c>
    </row>
    <row r="5383" spans="1:2">
      <c r="A5383" s="219" t="str">
        <f t="shared" si="12"/>
        <v/>
      </c>
      <c r="B5383" s="219" t="str">
        <f t="shared" si="13"/>
        <v/>
      </c>
    </row>
    <row r="5384" spans="1:2">
      <c r="A5384" s="219" t="str">
        <f t="shared" si="12"/>
        <v/>
      </c>
      <c r="B5384" s="219" t="str">
        <f t="shared" si="13"/>
        <v/>
      </c>
    </row>
    <row r="5385" spans="1:2">
      <c r="A5385" s="219" t="str">
        <f t="shared" si="12"/>
        <v/>
      </c>
      <c r="B5385" s="219" t="str">
        <f t="shared" si="13"/>
        <v/>
      </c>
    </row>
    <row r="5386" spans="1:2">
      <c r="A5386" s="219" t="str">
        <f t="shared" si="12"/>
        <v/>
      </c>
      <c r="B5386" s="219" t="str">
        <f t="shared" si="13"/>
        <v/>
      </c>
    </row>
    <row r="5387" spans="1:2">
      <c r="A5387" s="219" t="str">
        <f t="shared" si="12"/>
        <v/>
      </c>
      <c r="B5387" s="219" t="str">
        <f t="shared" si="13"/>
        <v/>
      </c>
    </row>
    <row r="5388" spans="1:2">
      <c r="A5388" s="219" t="str">
        <f t="shared" si="12"/>
        <v/>
      </c>
      <c r="B5388" s="219" t="str">
        <f t="shared" si="13"/>
        <v/>
      </c>
    </row>
    <row r="5389" spans="1:2">
      <c r="A5389" s="219" t="str">
        <f t="shared" si="12"/>
        <v/>
      </c>
      <c r="B5389" s="219" t="str">
        <f t="shared" si="13"/>
        <v/>
      </c>
    </row>
    <row r="5390" spans="1:2">
      <c r="A5390" s="219" t="str">
        <f t="shared" si="12"/>
        <v/>
      </c>
      <c r="B5390" s="219" t="str">
        <f t="shared" si="13"/>
        <v/>
      </c>
    </row>
    <row r="5391" spans="1:2">
      <c r="A5391" s="219" t="str">
        <f t="shared" si="12"/>
        <v/>
      </c>
      <c r="B5391" s="219" t="str">
        <f t="shared" si="13"/>
        <v/>
      </c>
    </row>
    <row r="5392" spans="1:2">
      <c r="A5392" s="219" t="str">
        <f t="shared" si="12"/>
        <v/>
      </c>
      <c r="B5392" s="219" t="str">
        <f t="shared" si="13"/>
        <v/>
      </c>
    </row>
    <row r="5393" spans="1:2">
      <c r="A5393" s="219" t="str">
        <f t="shared" si="12"/>
        <v/>
      </c>
      <c r="B5393" s="219" t="str">
        <f t="shared" si="13"/>
        <v/>
      </c>
    </row>
    <row r="5394" spans="1:2">
      <c r="A5394" s="219" t="str">
        <f t="shared" si="12"/>
        <v/>
      </c>
      <c r="B5394" s="219" t="str">
        <f t="shared" si="13"/>
        <v/>
      </c>
    </row>
    <row r="5395" spans="1:2">
      <c r="A5395" s="219" t="str">
        <f t="shared" si="12"/>
        <v/>
      </c>
      <c r="B5395" s="219" t="str">
        <f t="shared" si="13"/>
        <v/>
      </c>
    </row>
    <row r="5396" spans="1:2">
      <c r="A5396" s="219" t="str">
        <f t="shared" si="12"/>
        <v/>
      </c>
      <c r="B5396" s="219" t="str">
        <f t="shared" si="13"/>
        <v/>
      </c>
    </row>
    <row r="5397" spans="1:2">
      <c r="A5397" s="219" t="str">
        <f t="shared" si="12"/>
        <v/>
      </c>
      <c r="B5397" s="219" t="str">
        <f t="shared" si="13"/>
        <v/>
      </c>
    </row>
    <row r="5398" spans="1:2">
      <c r="A5398" s="219" t="str">
        <f t="shared" si="12"/>
        <v/>
      </c>
      <c r="B5398" s="219" t="str">
        <f t="shared" si="13"/>
        <v/>
      </c>
    </row>
    <row r="5399" spans="1:2">
      <c r="A5399" s="219" t="str">
        <f t="shared" si="12"/>
        <v/>
      </c>
      <c r="B5399" s="219" t="str">
        <f t="shared" si="13"/>
        <v/>
      </c>
    </row>
    <row r="5400" spans="1:2">
      <c r="A5400" s="219" t="str">
        <f t="shared" si="12"/>
        <v/>
      </c>
      <c r="B5400" s="219" t="str">
        <f t="shared" si="13"/>
        <v/>
      </c>
    </row>
    <row r="5401" spans="1:2">
      <c r="A5401" s="219" t="str">
        <f t="shared" si="12"/>
        <v/>
      </c>
      <c r="B5401" s="219" t="str">
        <f t="shared" si="13"/>
        <v/>
      </c>
    </row>
    <row r="5402" spans="1:2">
      <c r="A5402" s="219" t="str">
        <f t="shared" si="12"/>
        <v/>
      </c>
      <c r="B5402" s="219" t="str">
        <f t="shared" si="13"/>
        <v/>
      </c>
    </row>
    <row r="5403" spans="1:2">
      <c r="A5403" s="219" t="str">
        <f t="shared" si="12"/>
        <v/>
      </c>
      <c r="B5403" s="219" t="str">
        <f t="shared" si="13"/>
        <v/>
      </c>
    </row>
    <row r="5404" spans="1:2">
      <c r="A5404" s="219" t="str">
        <f t="shared" si="12"/>
        <v/>
      </c>
      <c r="B5404" s="219" t="str">
        <f t="shared" si="13"/>
        <v/>
      </c>
    </row>
    <row r="5405" spans="1:2">
      <c r="A5405" s="219" t="str">
        <f t="shared" si="12"/>
        <v/>
      </c>
      <c r="B5405" s="219" t="str">
        <f t="shared" si="13"/>
        <v/>
      </c>
    </row>
    <row r="5406" spans="1:2">
      <c r="A5406" s="219" t="str">
        <f t="shared" si="12"/>
        <v/>
      </c>
      <c r="B5406" s="219" t="str">
        <f t="shared" si="13"/>
        <v/>
      </c>
    </row>
    <row r="5407" spans="1:2">
      <c r="A5407" s="219" t="str">
        <f t="shared" si="12"/>
        <v/>
      </c>
      <c r="B5407" s="219" t="str">
        <f t="shared" si="13"/>
        <v/>
      </c>
    </row>
    <row r="5408" spans="1:2">
      <c r="A5408" s="219" t="str">
        <f t="shared" si="12"/>
        <v/>
      </c>
      <c r="B5408" s="219" t="str">
        <f t="shared" si="13"/>
        <v/>
      </c>
    </row>
    <row r="5409" spans="1:2">
      <c r="A5409" s="219" t="str">
        <f t="shared" ref="A5409:A5472" si="14">HYPERLINK("http://tw.stock.yahoo.com/q/ta?s=","")</f>
        <v/>
      </c>
      <c r="B5409" s="219" t="str">
        <f t="shared" ref="B5409:B5472" si="15">HYPERLINK("http://tw.stock.yahoo.com/d/s/earning_.html","")</f>
        <v/>
      </c>
    </row>
    <row r="5410" spans="1:2">
      <c r="A5410" s="219" t="str">
        <f t="shared" si="14"/>
        <v/>
      </c>
      <c r="B5410" s="219" t="str">
        <f t="shared" si="15"/>
        <v/>
      </c>
    </row>
    <row r="5411" spans="1:2">
      <c r="A5411" s="219" t="str">
        <f t="shared" si="14"/>
        <v/>
      </c>
      <c r="B5411" s="219" t="str">
        <f t="shared" si="15"/>
        <v/>
      </c>
    </row>
    <row r="5412" spans="1:2">
      <c r="A5412" s="219" t="str">
        <f t="shared" si="14"/>
        <v/>
      </c>
      <c r="B5412" s="219" t="str">
        <f t="shared" si="15"/>
        <v/>
      </c>
    </row>
    <row r="5413" spans="1:2">
      <c r="A5413" s="219" t="str">
        <f t="shared" si="14"/>
        <v/>
      </c>
      <c r="B5413" s="219" t="str">
        <f t="shared" si="15"/>
        <v/>
      </c>
    </row>
    <row r="5414" spans="1:2">
      <c r="A5414" s="219" t="str">
        <f t="shared" si="14"/>
        <v/>
      </c>
      <c r="B5414" s="219" t="str">
        <f t="shared" si="15"/>
        <v/>
      </c>
    </row>
    <row r="5415" spans="1:2">
      <c r="A5415" s="219" t="str">
        <f t="shared" si="14"/>
        <v/>
      </c>
      <c r="B5415" s="219" t="str">
        <f t="shared" si="15"/>
        <v/>
      </c>
    </row>
    <row r="5416" spans="1:2">
      <c r="A5416" s="219" t="str">
        <f t="shared" si="14"/>
        <v/>
      </c>
      <c r="B5416" s="219" t="str">
        <f t="shared" si="15"/>
        <v/>
      </c>
    </row>
    <row r="5417" spans="1:2">
      <c r="A5417" s="219" t="str">
        <f t="shared" si="14"/>
        <v/>
      </c>
      <c r="B5417" s="219" t="str">
        <f t="shared" si="15"/>
        <v/>
      </c>
    </row>
    <row r="5418" spans="1:2">
      <c r="A5418" s="219" t="str">
        <f t="shared" si="14"/>
        <v/>
      </c>
      <c r="B5418" s="219" t="str">
        <f t="shared" si="15"/>
        <v/>
      </c>
    </row>
    <row r="5419" spans="1:2">
      <c r="A5419" s="219" t="str">
        <f t="shared" si="14"/>
        <v/>
      </c>
      <c r="B5419" s="219" t="str">
        <f t="shared" si="15"/>
        <v/>
      </c>
    </row>
    <row r="5420" spans="1:2">
      <c r="A5420" s="219" t="str">
        <f t="shared" si="14"/>
        <v/>
      </c>
      <c r="B5420" s="219" t="str">
        <f t="shared" si="15"/>
        <v/>
      </c>
    </row>
    <row r="5421" spans="1:2">
      <c r="A5421" s="219" t="str">
        <f t="shared" si="14"/>
        <v/>
      </c>
      <c r="B5421" s="219" t="str">
        <f t="shared" si="15"/>
        <v/>
      </c>
    </row>
    <row r="5422" spans="1:2">
      <c r="A5422" s="219" t="str">
        <f t="shared" si="14"/>
        <v/>
      </c>
      <c r="B5422" s="219" t="str">
        <f t="shared" si="15"/>
        <v/>
      </c>
    </row>
    <row r="5423" spans="1:2">
      <c r="A5423" s="219" t="str">
        <f t="shared" si="14"/>
        <v/>
      </c>
      <c r="B5423" s="219" t="str">
        <f t="shared" si="15"/>
        <v/>
      </c>
    </row>
    <row r="5424" spans="1:2">
      <c r="A5424" s="219" t="str">
        <f t="shared" si="14"/>
        <v/>
      </c>
      <c r="B5424" s="219" t="str">
        <f t="shared" si="15"/>
        <v/>
      </c>
    </row>
    <row r="5425" spans="1:2">
      <c r="A5425" s="219" t="str">
        <f t="shared" si="14"/>
        <v/>
      </c>
      <c r="B5425" s="219" t="str">
        <f t="shared" si="15"/>
        <v/>
      </c>
    </row>
    <row r="5426" spans="1:2">
      <c r="A5426" s="219" t="str">
        <f t="shared" si="14"/>
        <v/>
      </c>
      <c r="B5426" s="219" t="str">
        <f t="shared" si="15"/>
        <v/>
      </c>
    </row>
    <row r="5427" spans="1:2">
      <c r="A5427" s="219" t="str">
        <f t="shared" si="14"/>
        <v/>
      </c>
      <c r="B5427" s="219" t="str">
        <f t="shared" si="15"/>
        <v/>
      </c>
    </row>
    <row r="5428" spans="1:2">
      <c r="A5428" s="219" t="str">
        <f t="shared" si="14"/>
        <v/>
      </c>
      <c r="B5428" s="219" t="str">
        <f t="shared" si="15"/>
        <v/>
      </c>
    </row>
    <row r="5429" spans="1:2">
      <c r="A5429" s="219" t="str">
        <f t="shared" si="14"/>
        <v/>
      </c>
      <c r="B5429" s="219" t="str">
        <f t="shared" si="15"/>
        <v/>
      </c>
    </row>
    <row r="5430" spans="1:2">
      <c r="A5430" s="219" t="str">
        <f t="shared" si="14"/>
        <v/>
      </c>
      <c r="B5430" s="219" t="str">
        <f t="shared" si="15"/>
        <v/>
      </c>
    </row>
    <row r="5431" spans="1:2">
      <c r="A5431" s="219" t="str">
        <f t="shared" si="14"/>
        <v/>
      </c>
      <c r="B5431" s="219" t="str">
        <f t="shared" si="15"/>
        <v/>
      </c>
    </row>
    <row r="5432" spans="1:2">
      <c r="A5432" s="219" t="str">
        <f t="shared" si="14"/>
        <v/>
      </c>
      <c r="B5432" s="219" t="str">
        <f t="shared" si="15"/>
        <v/>
      </c>
    </row>
    <row r="5433" spans="1:2">
      <c r="A5433" s="219" t="str">
        <f t="shared" si="14"/>
        <v/>
      </c>
      <c r="B5433" s="219" t="str">
        <f t="shared" si="15"/>
        <v/>
      </c>
    </row>
    <row r="5434" spans="1:2">
      <c r="A5434" s="219" t="str">
        <f t="shared" si="14"/>
        <v/>
      </c>
      <c r="B5434" s="219" t="str">
        <f t="shared" si="15"/>
        <v/>
      </c>
    </row>
    <row r="5435" spans="1:2">
      <c r="A5435" s="219" t="str">
        <f t="shared" si="14"/>
        <v/>
      </c>
      <c r="B5435" s="219" t="str">
        <f t="shared" si="15"/>
        <v/>
      </c>
    </row>
    <row r="5436" spans="1:2">
      <c r="A5436" s="219" t="str">
        <f t="shared" si="14"/>
        <v/>
      </c>
      <c r="B5436" s="219" t="str">
        <f t="shared" si="15"/>
        <v/>
      </c>
    </row>
    <row r="5437" spans="1:2">
      <c r="A5437" s="219" t="str">
        <f t="shared" si="14"/>
        <v/>
      </c>
      <c r="B5437" s="219" t="str">
        <f t="shared" si="15"/>
        <v/>
      </c>
    </row>
    <row r="5438" spans="1:2">
      <c r="A5438" s="219" t="str">
        <f t="shared" si="14"/>
        <v/>
      </c>
      <c r="B5438" s="219" t="str">
        <f t="shared" si="15"/>
        <v/>
      </c>
    </row>
    <row r="5439" spans="1:2">
      <c r="A5439" s="219" t="str">
        <f t="shared" si="14"/>
        <v/>
      </c>
      <c r="B5439" s="219" t="str">
        <f t="shared" si="15"/>
        <v/>
      </c>
    </row>
    <row r="5440" spans="1:2">
      <c r="A5440" s="219" t="str">
        <f t="shared" si="14"/>
        <v/>
      </c>
      <c r="B5440" s="219" t="str">
        <f t="shared" si="15"/>
        <v/>
      </c>
    </row>
    <row r="5441" spans="1:2">
      <c r="A5441" s="219" t="str">
        <f t="shared" si="14"/>
        <v/>
      </c>
      <c r="B5441" s="219" t="str">
        <f t="shared" si="15"/>
        <v/>
      </c>
    </row>
    <row r="5442" spans="1:2">
      <c r="A5442" s="219" t="str">
        <f t="shared" si="14"/>
        <v/>
      </c>
      <c r="B5442" s="219" t="str">
        <f t="shared" si="15"/>
        <v/>
      </c>
    </row>
    <row r="5443" spans="1:2">
      <c r="A5443" s="219" t="str">
        <f t="shared" si="14"/>
        <v/>
      </c>
      <c r="B5443" s="219" t="str">
        <f t="shared" si="15"/>
        <v/>
      </c>
    </row>
    <row r="5444" spans="1:2">
      <c r="A5444" s="219" t="str">
        <f t="shared" si="14"/>
        <v/>
      </c>
      <c r="B5444" s="219" t="str">
        <f t="shared" si="15"/>
        <v/>
      </c>
    </row>
    <row r="5445" spans="1:2">
      <c r="A5445" s="219" t="str">
        <f t="shared" si="14"/>
        <v/>
      </c>
      <c r="B5445" s="219" t="str">
        <f t="shared" si="15"/>
        <v/>
      </c>
    </row>
    <row r="5446" spans="1:2">
      <c r="A5446" s="219" t="str">
        <f t="shared" si="14"/>
        <v/>
      </c>
      <c r="B5446" s="219" t="str">
        <f t="shared" si="15"/>
        <v/>
      </c>
    </row>
    <row r="5447" spans="1:2">
      <c r="A5447" s="219" t="str">
        <f t="shared" si="14"/>
        <v/>
      </c>
      <c r="B5447" s="219" t="str">
        <f t="shared" si="15"/>
        <v/>
      </c>
    </row>
    <row r="5448" spans="1:2">
      <c r="A5448" s="219" t="str">
        <f t="shared" si="14"/>
        <v/>
      </c>
      <c r="B5448" s="219" t="str">
        <f t="shared" si="15"/>
        <v/>
      </c>
    </row>
    <row r="5449" spans="1:2">
      <c r="A5449" s="219" t="str">
        <f t="shared" si="14"/>
        <v/>
      </c>
      <c r="B5449" s="219" t="str">
        <f t="shared" si="15"/>
        <v/>
      </c>
    </row>
    <row r="5450" spans="1:2">
      <c r="A5450" s="219" t="str">
        <f t="shared" si="14"/>
        <v/>
      </c>
      <c r="B5450" s="219" t="str">
        <f t="shared" si="15"/>
        <v/>
      </c>
    </row>
    <row r="5451" spans="1:2">
      <c r="A5451" s="219" t="str">
        <f t="shared" si="14"/>
        <v/>
      </c>
      <c r="B5451" s="219" t="str">
        <f t="shared" si="15"/>
        <v/>
      </c>
    </row>
    <row r="5452" spans="1:2">
      <c r="A5452" s="219" t="str">
        <f t="shared" si="14"/>
        <v/>
      </c>
      <c r="B5452" s="219" t="str">
        <f t="shared" si="15"/>
        <v/>
      </c>
    </row>
    <row r="5453" spans="1:2">
      <c r="A5453" s="219" t="str">
        <f t="shared" si="14"/>
        <v/>
      </c>
      <c r="B5453" s="219" t="str">
        <f t="shared" si="15"/>
        <v/>
      </c>
    </row>
    <row r="5454" spans="1:2">
      <c r="A5454" s="219" t="str">
        <f t="shared" si="14"/>
        <v/>
      </c>
      <c r="B5454" s="219" t="str">
        <f t="shared" si="15"/>
        <v/>
      </c>
    </row>
    <row r="5455" spans="1:2">
      <c r="A5455" s="219" t="str">
        <f t="shared" si="14"/>
        <v/>
      </c>
      <c r="B5455" s="219" t="str">
        <f t="shared" si="15"/>
        <v/>
      </c>
    </row>
    <row r="5456" spans="1:2">
      <c r="A5456" s="219" t="str">
        <f t="shared" si="14"/>
        <v/>
      </c>
      <c r="B5456" s="219" t="str">
        <f t="shared" si="15"/>
        <v/>
      </c>
    </row>
    <row r="5457" spans="1:2">
      <c r="A5457" s="219" t="str">
        <f t="shared" si="14"/>
        <v/>
      </c>
      <c r="B5457" s="219" t="str">
        <f t="shared" si="15"/>
        <v/>
      </c>
    </row>
    <row r="5458" spans="1:2">
      <c r="A5458" s="219" t="str">
        <f t="shared" si="14"/>
        <v/>
      </c>
      <c r="B5458" s="219" t="str">
        <f t="shared" si="15"/>
        <v/>
      </c>
    </row>
    <row r="5459" spans="1:2">
      <c r="A5459" s="219" t="str">
        <f t="shared" si="14"/>
        <v/>
      </c>
      <c r="B5459" s="219" t="str">
        <f t="shared" si="15"/>
        <v/>
      </c>
    </row>
    <row r="5460" spans="1:2">
      <c r="A5460" s="219" t="str">
        <f t="shared" si="14"/>
        <v/>
      </c>
      <c r="B5460" s="219" t="str">
        <f t="shared" si="15"/>
        <v/>
      </c>
    </row>
    <row r="5461" spans="1:2">
      <c r="A5461" s="219" t="str">
        <f t="shared" si="14"/>
        <v/>
      </c>
      <c r="B5461" s="219" t="str">
        <f t="shared" si="15"/>
        <v/>
      </c>
    </row>
    <row r="5462" spans="1:2">
      <c r="A5462" s="219" t="str">
        <f t="shared" si="14"/>
        <v/>
      </c>
      <c r="B5462" s="219" t="str">
        <f t="shared" si="15"/>
        <v/>
      </c>
    </row>
    <row r="5463" spans="1:2">
      <c r="A5463" s="219" t="str">
        <f t="shared" si="14"/>
        <v/>
      </c>
      <c r="B5463" s="219" t="str">
        <f t="shared" si="15"/>
        <v/>
      </c>
    </row>
    <row r="5464" spans="1:2">
      <c r="A5464" s="219" t="str">
        <f t="shared" si="14"/>
        <v/>
      </c>
      <c r="B5464" s="219" t="str">
        <f t="shared" si="15"/>
        <v/>
      </c>
    </row>
    <row r="5465" spans="1:2">
      <c r="A5465" s="219" t="str">
        <f t="shared" si="14"/>
        <v/>
      </c>
      <c r="B5465" s="219" t="str">
        <f t="shared" si="15"/>
        <v/>
      </c>
    </row>
    <row r="5466" spans="1:2">
      <c r="A5466" s="219" t="str">
        <f t="shared" si="14"/>
        <v/>
      </c>
      <c r="B5466" s="219" t="str">
        <f t="shared" si="15"/>
        <v/>
      </c>
    </row>
    <row r="5467" spans="1:2">
      <c r="A5467" s="219" t="str">
        <f t="shared" si="14"/>
        <v/>
      </c>
      <c r="B5467" s="219" t="str">
        <f t="shared" si="15"/>
        <v/>
      </c>
    </row>
    <row r="5468" spans="1:2">
      <c r="A5468" s="219" t="str">
        <f t="shared" si="14"/>
        <v/>
      </c>
      <c r="B5468" s="219" t="str">
        <f t="shared" si="15"/>
        <v/>
      </c>
    </row>
    <row r="5469" spans="1:2">
      <c r="A5469" s="219" t="str">
        <f t="shared" si="14"/>
        <v/>
      </c>
      <c r="B5469" s="219" t="str">
        <f t="shared" si="15"/>
        <v/>
      </c>
    </row>
    <row r="5470" spans="1:2">
      <c r="A5470" s="219" t="str">
        <f t="shared" si="14"/>
        <v/>
      </c>
      <c r="B5470" s="219" t="str">
        <f t="shared" si="15"/>
        <v/>
      </c>
    </row>
    <row r="5471" spans="1:2">
      <c r="A5471" s="219" t="str">
        <f t="shared" si="14"/>
        <v/>
      </c>
      <c r="B5471" s="219" t="str">
        <f t="shared" si="15"/>
        <v/>
      </c>
    </row>
    <row r="5472" spans="1:2">
      <c r="A5472" s="219" t="str">
        <f t="shared" si="14"/>
        <v/>
      </c>
      <c r="B5472" s="219" t="str">
        <f t="shared" si="15"/>
        <v/>
      </c>
    </row>
    <row r="5473" spans="1:2">
      <c r="A5473" s="219" t="str">
        <f t="shared" ref="A5473:A5531" si="16">HYPERLINK("http://tw.stock.yahoo.com/q/ta?s=","")</f>
        <v/>
      </c>
      <c r="B5473" s="219" t="str">
        <f t="shared" ref="B5473:B5531" si="17">HYPERLINK("http://tw.stock.yahoo.com/d/s/earning_.html","")</f>
        <v/>
      </c>
    </row>
    <row r="5474" spans="1:2">
      <c r="A5474" s="219" t="str">
        <f t="shared" si="16"/>
        <v/>
      </c>
      <c r="B5474" s="219" t="str">
        <f t="shared" si="17"/>
        <v/>
      </c>
    </row>
    <row r="5475" spans="1:2">
      <c r="A5475" s="219" t="str">
        <f t="shared" si="16"/>
        <v/>
      </c>
      <c r="B5475" s="219" t="str">
        <f t="shared" si="17"/>
        <v/>
      </c>
    </row>
    <row r="5476" spans="1:2">
      <c r="A5476" s="219" t="str">
        <f t="shared" si="16"/>
        <v/>
      </c>
      <c r="B5476" s="219" t="str">
        <f t="shared" si="17"/>
        <v/>
      </c>
    </row>
    <row r="5477" spans="1:2">
      <c r="A5477" s="219" t="str">
        <f t="shared" si="16"/>
        <v/>
      </c>
      <c r="B5477" s="219" t="str">
        <f t="shared" si="17"/>
        <v/>
      </c>
    </row>
    <row r="5478" spans="1:2">
      <c r="A5478" s="219" t="str">
        <f t="shared" si="16"/>
        <v/>
      </c>
      <c r="B5478" s="219" t="str">
        <f t="shared" si="17"/>
        <v/>
      </c>
    </row>
    <row r="5479" spans="1:2">
      <c r="A5479" s="219" t="str">
        <f t="shared" si="16"/>
        <v/>
      </c>
      <c r="B5479" s="219" t="str">
        <f t="shared" si="17"/>
        <v/>
      </c>
    </row>
    <row r="5480" spans="1:2">
      <c r="A5480" s="219" t="str">
        <f t="shared" si="16"/>
        <v/>
      </c>
      <c r="B5480" s="219" t="str">
        <f t="shared" si="17"/>
        <v/>
      </c>
    </row>
    <row r="5481" spans="1:2">
      <c r="A5481" s="219" t="str">
        <f t="shared" si="16"/>
        <v/>
      </c>
      <c r="B5481" s="219" t="str">
        <f t="shared" si="17"/>
        <v/>
      </c>
    </row>
    <row r="5482" spans="1:2">
      <c r="A5482" s="219" t="str">
        <f t="shared" si="16"/>
        <v/>
      </c>
      <c r="B5482" s="219" t="str">
        <f t="shared" si="17"/>
        <v/>
      </c>
    </row>
    <row r="5483" spans="1:2">
      <c r="A5483" s="219" t="str">
        <f t="shared" si="16"/>
        <v/>
      </c>
      <c r="B5483" s="219" t="str">
        <f t="shared" si="17"/>
        <v/>
      </c>
    </row>
    <row r="5484" spans="1:2">
      <c r="A5484" s="219" t="str">
        <f t="shared" si="16"/>
        <v/>
      </c>
      <c r="B5484" s="219" t="str">
        <f t="shared" si="17"/>
        <v/>
      </c>
    </row>
    <row r="5485" spans="1:2">
      <c r="A5485" s="219" t="str">
        <f t="shared" si="16"/>
        <v/>
      </c>
      <c r="B5485" s="219" t="str">
        <f t="shared" si="17"/>
        <v/>
      </c>
    </row>
    <row r="5486" spans="1:2">
      <c r="A5486" s="219" t="str">
        <f t="shared" si="16"/>
        <v/>
      </c>
      <c r="B5486" s="219" t="str">
        <f t="shared" si="17"/>
        <v/>
      </c>
    </row>
    <row r="5487" spans="1:2">
      <c r="A5487" s="219" t="str">
        <f t="shared" si="16"/>
        <v/>
      </c>
      <c r="B5487" s="219" t="str">
        <f t="shared" si="17"/>
        <v/>
      </c>
    </row>
    <row r="5488" spans="1:2">
      <c r="A5488" s="219" t="str">
        <f t="shared" si="16"/>
        <v/>
      </c>
      <c r="B5488" s="219" t="str">
        <f t="shared" si="17"/>
        <v/>
      </c>
    </row>
    <row r="5489" spans="1:2">
      <c r="A5489" s="219" t="str">
        <f t="shared" si="16"/>
        <v/>
      </c>
      <c r="B5489" s="219" t="str">
        <f t="shared" si="17"/>
        <v/>
      </c>
    </row>
    <row r="5490" spans="1:2">
      <c r="A5490" s="219" t="str">
        <f t="shared" si="16"/>
        <v/>
      </c>
      <c r="B5490" s="219" t="str">
        <f t="shared" si="17"/>
        <v/>
      </c>
    </row>
    <row r="5491" spans="1:2">
      <c r="A5491" s="219" t="str">
        <f t="shared" si="16"/>
        <v/>
      </c>
      <c r="B5491" s="219" t="str">
        <f t="shared" si="17"/>
        <v/>
      </c>
    </row>
    <row r="5492" spans="1:2">
      <c r="A5492" s="219" t="str">
        <f t="shared" si="16"/>
        <v/>
      </c>
      <c r="B5492" s="219" t="str">
        <f t="shared" si="17"/>
        <v/>
      </c>
    </row>
    <row r="5493" spans="1:2">
      <c r="A5493" s="219" t="str">
        <f t="shared" si="16"/>
        <v/>
      </c>
      <c r="B5493" s="219" t="str">
        <f t="shared" si="17"/>
        <v/>
      </c>
    </row>
    <row r="5494" spans="1:2">
      <c r="A5494" s="219" t="str">
        <f t="shared" si="16"/>
        <v/>
      </c>
      <c r="B5494" s="219" t="str">
        <f t="shared" si="17"/>
        <v/>
      </c>
    </row>
    <row r="5495" spans="1:2">
      <c r="A5495" s="219" t="str">
        <f t="shared" si="16"/>
        <v/>
      </c>
      <c r="B5495" s="219" t="str">
        <f t="shared" si="17"/>
        <v/>
      </c>
    </row>
    <row r="5496" spans="1:2">
      <c r="A5496" s="219" t="str">
        <f t="shared" si="16"/>
        <v/>
      </c>
      <c r="B5496" s="219" t="str">
        <f t="shared" si="17"/>
        <v/>
      </c>
    </row>
    <row r="5497" spans="1:2">
      <c r="A5497" s="219" t="str">
        <f t="shared" si="16"/>
        <v/>
      </c>
      <c r="B5497" s="219" t="str">
        <f t="shared" si="17"/>
        <v/>
      </c>
    </row>
    <row r="5498" spans="1:2">
      <c r="A5498" s="219" t="str">
        <f t="shared" si="16"/>
        <v/>
      </c>
      <c r="B5498" s="219" t="str">
        <f t="shared" si="17"/>
        <v/>
      </c>
    </row>
    <row r="5499" spans="1:2">
      <c r="A5499" s="219" t="str">
        <f t="shared" si="16"/>
        <v/>
      </c>
      <c r="B5499" s="219" t="str">
        <f t="shared" si="17"/>
        <v/>
      </c>
    </row>
    <row r="5500" spans="1:2">
      <c r="A5500" s="219" t="str">
        <f t="shared" si="16"/>
        <v/>
      </c>
      <c r="B5500" s="219" t="str">
        <f t="shared" si="17"/>
        <v/>
      </c>
    </row>
    <row r="5501" spans="1:2">
      <c r="A5501" s="219" t="str">
        <f t="shared" si="16"/>
        <v/>
      </c>
      <c r="B5501" s="219" t="str">
        <f t="shared" si="17"/>
        <v/>
      </c>
    </row>
    <row r="5502" spans="1:2">
      <c r="A5502" s="219" t="str">
        <f t="shared" si="16"/>
        <v/>
      </c>
      <c r="B5502" s="219" t="str">
        <f t="shared" si="17"/>
        <v/>
      </c>
    </row>
    <row r="5503" spans="1:2">
      <c r="A5503" s="219" t="str">
        <f t="shared" si="16"/>
        <v/>
      </c>
      <c r="B5503" s="219" t="str">
        <f t="shared" si="17"/>
        <v/>
      </c>
    </row>
    <row r="5504" spans="1:2">
      <c r="A5504" s="219" t="str">
        <f t="shared" si="16"/>
        <v/>
      </c>
      <c r="B5504" s="219" t="str">
        <f t="shared" si="17"/>
        <v/>
      </c>
    </row>
    <row r="5505" spans="1:2">
      <c r="A5505" s="219" t="str">
        <f t="shared" si="16"/>
        <v/>
      </c>
      <c r="B5505" s="219" t="str">
        <f t="shared" si="17"/>
        <v/>
      </c>
    </row>
    <row r="5506" spans="1:2">
      <c r="A5506" s="219" t="str">
        <f t="shared" si="16"/>
        <v/>
      </c>
      <c r="B5506" s="219" t="str">
        <f t="shared" si="17"/>
        <v/>
      </c>
    </row>
    <row r="5507" spans="1:2">
      <c r="A5507" s="219" t="str">
        <f t="shared" si="16"/>
        <v/>
      </c>
      <c r="B5507" s="219" t="str">
        <f t="shared" si="17"/>
        <v/>
      </c>
    </row>
    <row r="5508" spans="1:2">
      <c r="A5508" s="219" t="str">
        <f t="shared" si="16"/>
        <v/>
      </c>
      <c r="B5508" s="219" t="str">
        <f t="shared" si="17"/>
        <v/>
      </c>
    </row>
    <row r="5509" spans="1:2">
      <c r="A5509" s="219" t="str">
        <f t="shared" si="16"/>
        <v/>
      </c>
      <c r="B5509" s="219" t="str">
        <f t="shared" si="17"/>
        <v/>
      </c>
    </row>
    <row r="5510" spans="1:2">
      <c r="A5510" s="219" t="str">
        <f t="shared" si="16"/>
        <v/>
      </c>
      <c r="B5510" s="219" t="str">
        <f t="shared" si="17"/>
        <v/>
      </c>
    </row>
    <row r="5511" spans="1:2">
      <c r="A5511" s="219" t="str">
        <f t="shared" si="16"/>
        <v/>
      </c>
      <c r="B5511" s="219" t="str">
        <f t="shared" si="17"/>
        <v/>
      </c>
    </row>
    <row r="5512" spans="1:2">
      <c r="A5512" s="219" t="str">
        <f t="shared" si="16"/>
        <v/>
      </c>
      <c r="B5512" s="219" t="str">
        <f t="shared" si="17"/>
        <v/>
      </c>
    </row>
    <row r="5513" spans="1:2">
      <c r="A5513" s="219" t="str">
        <f t="shared" si="16"/>
        <v/>
      </c>
      <c r="B5513" s="219" t="str">
        <f t="shared" si="17"/>
        <v/>
      </c>
    </row>
    <row r="5514" spans="1:2">
      <c r="A5514" s="219" t="str">
        <f t="shared" si="16"/>
        <v/>
      </c>
      <c r="B5514" s="219" t="str">
        <f t="shared" si="17"/>
        <v/>
      </c>
    </row>
    <row r="5515" spans="1:2">
      <c r="A5515" s="219" t="str">
        <f t="shared" si="16"/>
        <v/>
      </c>
      <c r="B5515" s="219" t="str">
        <f t="shared" si="17"/>
        <v/>
      </c>
    </row>
    <row r="5516" spans="1:2">
      <c r="A5516" s="219" t="str">
        <f t="shared" si="16"/>
        <v/>
      </c>
      <c r="B5516" s="219" t="str">
        <f t="shared" si="17"/>
        <v/>
      </c>
    </row>
    <row r="5517" spans="1:2">
      <c r="A5517" s="219" t="str">
        <f t="shared" si="16"/>
        <v/>
      </c>
      <c r="B5517" s="219" t="str">
        <f t="shared" si="17"/>
        <v/>
      </c>
    </row>
    <row r="5518" spans="1:2">
      <c r="A5518" s="219" t="str">
        <f t="shared" si="16"/>
        <v/>
      </c>
      <c r="B5518" s="219" t="str">
        <f t="shared" si="17"/>
        <v/>
      </c>
    </row>
    <row r="5519" spans="1:2">
      <c r="A5519" s="219" t="str">
        <f t="shared" si="16"/>
        <v/>
      </c>
      <c r="B5519" s="219" t="str">
        <f t="shared" si="17"/>
        <v/>
      </c>
    </row>
    <row r="5520" spans="1:2">
      <c r="A5520" s="219" t="str">
        <f t="shared" si="16"/>
        <v/>
      </c>
      <c r="B5520" s="219" t="str">
        <f t="shared" si="17"/>
        <v/>
      </c>
    </row>
    <row r="5521" spans="1:2">
      <c r="A5521" s="219" t="str">
        <f t="shared" si="16"/>
        <v/>
      </c>
      <c r="B5521" s="219" t="str">
        <f t="shared" si="17"/>
        <v/>
      </c>
    </row>
    <row r="5522" spans="1:2">
      <c r="A5522" s="219" t="str">
        <f t="shared" si="16"/>
        <v/>
      </c>
      <c r="B5522" s="219" t="str">
        <f t="shared" si="17"/>
        <v/>
      </c>
    </row>
    <row r="5523" spans="1:2">
      <c r="A5523" s="219" t="str">
        <f t="shared" si="16"/>
        <v/>
      </c>
      <c r="B5523" s="219" t="str">
        <f t="shared" si="17"/>
        <v/>
      </c>
    </row>
    <row r="5524" spans="1:2">
      <c r="A5524" s="219" t="str">
        <f t="shared" si="16"/>
        <v/>
      </c>
      <c r="B5524" s="219" t="str">
        <f t="shared" si="17"/>
        <v/>
      </c>
    </row>
    <row r="5525" spans="1:2">
      <c r="A5525" s="219" t="str">
        <f t="shared" si="16"/>
        <v/>
      </c>
      <c r="B5525" s="219" t="str">
        <f t="shared" si="17"/>
        <v/>
      </c>
    </row>
    <row r="5526" spans="1:2">
      <c r="A5526" s="219" t="str">
        <f t="shared" si="16"/>
        <v/>
      </c>
      <c r="B5526" s="219" t="str">
        <f t="shared" si="17"/>
        <v/>
      </c>
    </row>
    <row r="5527" spans="1:2">
      <c r="A5527" s="219" t="str">
        <f t="shared" si="16"/>
        <v/>
      </c>
      <c r="B5527" s="219" t="str">
        <f t="shared" si="17"/>
        <v/>
      </c>
    </row>
    <row r="5528" spans="1:2">
      <c r="A5528" s="219" t="str">
        <f t="shared" si="16"/>
        <v/>
      </c>
      <c r="B5528" s="219" t="str">
        <f t="shared" si="17"/>
        <v/>
      </c>
    </row>
    <row r="5529" spans="1:2">
      <c r="A5529" s="219" t="str">
        <f t="shared" si="16"/>
        <v/>
      </c>
      <c r="B5529" s="219" t="str">
        <f t="shared" si="17"/>
        <v/>
      </c>
    </row>
    <row r="5530" spans="1:2">
      <c r="A5530" s="219" t="str">
        <f t="shared" si="16"/>
        <v/>
      </c>
      <c r="B5530" s="219" t="str">
        <f t="shared" si="17"/>
        <v/>
      </c>
    </row>
    <row r="5531" spans="1:2">
      <c r="A5531" s="219" t="str">
        <f t="shared" si="16"/>
        <v/>
      </c>
      <c r="B5531" s="219" t="str">
        <f t="shared" si="17"/>
        <v/>
      </c>
    </row>
  </sheetData>
  <autoFilter ref="A1:K722">
    <filterColumn colId="5">
      <customFilters>
        <customFilter operator="greaterThanOrEqual" val="5"/>
      </customFilters>
    </filterColumn>
    <filterColumn colId="6">
      <customFilters>
        <customFilter operator="greaterThanOrEqual" val="5"/>
      </customFilters>
    </filterColumn>
    <filterColumn colId="9">
      <customFilters>
        <customFilter operator="greaterThanOrEqual" val="21"/>
      </customFilters>
    </filterColumn>
    <filterColumn colId="10">
      <customFilters>
        <customFilter operator="greaterThanOrEqual" val="1"/>
      </customFilters>
    </filterColumn>
  </autoFilter>
  <sortState ref="A35:K2000">
    <sortCondition descending="1" ref="J2:J20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12296" r:id="rId3" name="CommandButton6"/>
    <control shapeId="12295" r:id="rId4" name="CommandButton5"/>
    <control shapeId="12293" r:id="rId5" name="CommandButton4"/>
    <control shapeId="12289" r:id="rId6" name="ComboBox1"/>
    <control shapeId="12290" r:id="rId7" name="CommandButton1"/>
    <control shapeId="12291" r:id="rId8" name="CommandButton2"/>
    <control shapeId="12292" r:id="rId9" name="CommandButton3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PSR"/>
  <dimension ref="A1:AD1481"/>
  <sheetViews>
    <sheetView zoomScale="90" zoomScaleNormal="9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B20" sqref="B20"/>
    </sheetView>
  </sheetViews>
  <sheetFormatPr defaultColWidth="9" defaultRowHeight="16.5"/>
  <cols>
    <col min="1" max="1" width="14.375" style="65" bestFit="1" customWidth="1"/>
    <col min="2" max="2" width="13.625" style="52" bestFit="1" customWidth="1"/>
    <col min="3" max="3" width="14.375" style="184" customWidth="1"/>
    <col min="4" max="4" width="19.75" style="181" bestFit="1" customWidth="1"/>
    <col min="5" max="5" width="12.625" style="53" customWidth="1"/>
    <col min="6" max="6" width="14.375" style="184" customWidth="1"/>
    <col min="7" max="7" width="19.75" style="54" bestFit="1" customWidth="1"/>
    <col min="8" max="8" width="22.75" style="54" bestFit="1" customWidth="1"/>
    <col min="9" max="9" width="11.125" style="66" bestFit="1" customWidth="1"/>
    <col min="10" max="10" width="9.625" style="186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4" t="s">
        <v>247</v>
      </c>
      <c r="B1" s="56" t="s">
        <v>225</v>
      </c>
      <c r="C1" s="182" t="s">
        <v>244</v>
      </c>
      <c r="D1" s="57" t="s">
        <v>246</v>
      </c>
      <c r="E1" s="55" t="s">
        <v>1901</v>
      </c>
      <c r="F1" s="182" t="s">
        <v>1899</v>
      </c>
      <c r="G1" s="57" t="s">
        <v>245</v>
      </c>
      <c r="H1" s="57" t="s">
        <v>1898</v>
      </c>
      <c r="I1" s="67" t="s">
        <v>541</v>
      </c>
      <c r="J1" s="185" t="s">
        <v>1900</v>
      </c>
      <c r="N1" s="26" t="e">
        <f>sum</f>
        <v>#NAME?</v>
      </c>
    </row>
    <row r="2" spans="1:30">
      <c r="A2" s="65">
        <v>1101</v>
      </c>
      <c r="B2" s="174">
        <v>0.26</v>
      </c>
      <c r="C2" s="183">
        <v>1</v>
      </c>
      <c r="D2" s="176">
        <v>3650000000</v>
      </c>
      <c r="E2" s="26">
        <f>VLOOKUP(1101,季財報!$A:$H,8,0)</f>
        <v>1</v>
      </c>
      <c r="F2" s="183">
        <v>5.7666666666666743E-3</v>
      </c>
      <c r="G2" s="176">
        <v>115340000000</v>
      </c>
      <c r="H2" s="176">
        <v>96411177000</v>
      </c>
      <c r="I2" s="174">
        <v>1.196334321278953</v>
      </c>
      <c r="J2" s="176">
        <v>30.384615384615383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>
      <c r="A3" s="65">
        <v>1102</v>
      </c>
      <c r="B3" s="174">
        <v>0.02</v>
      </c>
      <c r="C3" s="183">
        <v>0.38469353200135453</v>
      </c>
      <c r="D3" s="176">
        <v>3200000000</v>
      </c>
      <c r="E3" s="26">
        <f>VLOOKUP(1102,季財報!$A:$H,8,0)</f>
        <v>1</v>
      </c>
      <c r="F3" s="183">
        <v>1.8991666666666678E-2</v>
      </c>
      <c r="G3" s="176">
        <v>92160000000</v>
      </c>
      <c r="H3" s="176">
        <v>68738329000</v>
      </c>
      <c r="I3" s="174">
        <v>1.3407366943703272</v>
      </c>
      <c r="J3" s="176">
        <v>50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>
      <c r="A4" s="65">
        <v>1103</v>
      </c>
      <c r="B4" s="174">
        <v>-0.5</v>
      </c>
      <c r="C4" s="183">
        <v>1</v>
      </c>
      <c r="D4" s="176">
        <v>644000000</v>
      </c>
      <c r="E4" s="26">
        <f>VLOOKUP(1103,季財報!$A:$H,8,0)</f>
        <v>1</v>
      </c>
      <c r="F4" s="183">
        <v>4.6391666666666664E-2</v>
      </c>
      <c r="G4" s="176">
        <v>6440000000</v>
      </c>
      <c r="H4" s="176">
        <v>3018582000</v>
      </c>
      <c r="I4" s="174">
        <v>2.1334520645786665</v>
      </c>
      <c r="J4" s="176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>
      <c r="A5" s="65">
        <v>1104</v>
      </c>
      <c r="B5" s="174">
        <v>0.48</v>
      </c>
      <c r="C5" s="183">
        <v>1.9877675840978593E-2</v>
      </c>
      <c r="D5" s="176">
        <v>627083333.33333337</v>
      </c>
      <c r="E5" s="26">
        <f>VLOOKUP(1104,季財報!$A:$H,8,0)</f>
        <v>2</v>
      </c>
      <c r="F5" s="183">
        <v>3.8666666666666654E-3</v>
      </c>
      <c r="G5" s="176">
        <v>14391562500</v>
      </c>
      <c r="H5" s="176">
        <v>5270039000</v>
      </c>
      <c r="I5" s="174">
        <v>2.7308265650406001</v>
      </c>
      <c r="J5" s="176">
        <v>50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>
      <c r="A6" s="65">
        <v>1108</v>
      </c>
      <c r="B6" s="174">
        <v>0.23</v>
      </c>
      <c r="C6" s="183">
        <v>1</v>
      </c>
      <c r="D6" s="176">
        <v>400000000</v>
      </c>
      <c r="E6" s="26">
        <f>VLOOKUP(1108,季財報!$A:$H,8,0)</f>
        <v>2</v>
      </c>
      <c r="F6" s="183">
        <v>-5.249999999999965E-4</v>
      </c>
      <c r="G6" s="176">
        <v>4040000000</v>
      </c>
      <c r="H6" s="176">
        <v>5049013000</v>
      </c>
      <c r="I6" s="174">
        <v>0.80015638700078606</v>
      </c>
      <c r="J6" s="176">
        <v>10.978260869565217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>
      <c r="A7" s="65">
        <v>1109</v>
      </c>
      <c r="B7" s="174">
        <v>-0.08</v>
      </c>
      <c r="C7" s="183">
        <v>0.2391304347826087</v>
      </c>
      <c r="D7" s="176">
        <v>400000000</v>
      </c>
      <c r="E7" s="26">
        <f>VLOOKUP(1109,季財報!$A:$H,8,0)</f>
        <v>2</v>
      </c>
      <c r="F7" s="183">
        <v>2.2266666666666674E-2</v>
      </c>
      <c r="G7" s="176">
        <v>4000000000</v>
      </c>
      <c r="H7" s="176">
        <v>4529617000</v>
      </c>
      <c r="I7" s="174">
        <v>0.88307686941302099</v>
      </c>
      <c r="J7" s="176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>
      <c r="A8" s="65">
        <v>1110</v>
      </c>
      <c r="B8" s="174">
        <v>0.1</v>
      </c>
      <c r="C8" s="183">
        <v>0.36046511627906974</v>
      </c>
      <c r="D8" s="176">
        <v>610000000</v>
      </c>
      <c r="E8" s="26">
        <f>VLOOKUP(1110,季財報!$A:$H,8,0)</f>
        <v>2</v>
      </c>
      <c r="F8" s="183">
        <v>-7.2916666666666659E-3</v>
      </c>
      <c r="G8" s="176">
        <v>9089000000</v>
      </c>
      <c r="H8" s="176">
        <v>1917575000</v>
      </c>
      <c r="I8" s="174">
        <v>4.7398406841974889</v>
      </c>
      <c r="J8" s="176">
        <v>50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>
      <c r="A9" s="65">
        <v>1201</v>
      </c>
      <c r="B9" s="174">
        <v>-1.1499999999999999</v>
      </c>
      <c r="C9" s="183">
        <v>0.67941507311586047</v>
      </c>
      <c r="D9" s="176">
        <v>505217391.30434787</v>
      </c>
      <c r="E9" s="26">
        <f>VLOOKUP(1201,季財報!$A:$H,8,0)</f>
        <v>0</v>
      </c>
      <c r="F9" s="183">
        <v>2.5499999999999989E-3</v>
      </c>
      <c r="G9" s="176">
        <v>9599130434.7826099</v>
      </c>
      <c r="H9" s="176">
        <v>20853213000</v>
      </c>
      <c r="I9" s="174">
        <v>0.46031901341930426</v>
      </c>
      <c r="J9" s="176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>
      <c r="A10" s="65">
        <v>1203</v>
      </c>
      <c r="B10" s="174">
        <v>0.47</v>
      </c>
      <c r="C10" s="183">
        <v>0.93908629441624369</v>
      </c>
      <c r="D10" s="176">
        <v>238297872.34042555</v>
      </c>
      <c r="E10" s="26">
        <f>VLOOKUP(1203,季財報!$A:$H,8,0)</f>
        <v>5</v>
      </c>
      <c r="F10" s="183">
        <v>2.2474999999999995E-2</v>
      </c>
      <c r="G10" s="176">
        <v>5504680851.0638304</v>
      </c>
      <c r="H10" s="176">
        <v>6763308000</v>
      </c>
      <c r="I10" s="174">
        <v>0.81390361803186106</v>
      </c>
      <c r="J10" s="176">
        <v>13.084243818286373</v>
      </c>
      <c r="N10" s="32"/>
      <c r="O10" s="32"/>
      <c r="P10" s="177"/>
      <c r="Q10" s="178"/>
      <c r="R10" s="177"/>
      <c r="S10" s="178"/>
      <c r="T10" s="177"/>
      <c r="U10" s="178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>
      <c r="A11" s="65">
        <v>1210</v>
      </c>
      <c r="B11" s="174">
        <v>0.5</v>
      </c>
      <c r="C11" s="183">
        <v>1</v>
      </c>
      <c r="D11" s="176">
        <v>686000000</v>
      </c>
      <c r="E11" s="26">
        <f>VLOOKUP(1210,季財報!$A:$H,8,0)</f>
        <v>2</v>
      </c>
      <c r="F11" s="183">
        <v>-1.17E-2</v>
      </c>
      <c r="G11" s="176">
        <v>13068300000</v>
      </c>
      <c r="H11" s="176">
        <v>82214565000</v>
      </c>
      <c r="I11" s="174">
        <v>0.15895358687356675</v>
      </c>
      <c r="J11" s="176">
        <v>9.5250000000000004</v>
      </c>
      <c r="N11" s="32"/>
      <c r="O11" s="32"/>
      <c r="P11" s="177"/>
      <c r="Q11" s="178"/>
      <c r="R11" s="177"/>
      <c r="S11" s="178"/>
      <c r="T11" s="177"/>
      <c r="U11" s="178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>
      <c r="A12" s="65">
        <v>1213</v>
      </c>
      <c r="B12" s="174">
        <v>0.35</v>
      </c>
      <c r="C12" s="183">
        <v>0</v>
      </c>
      <c r="D12" s="176">
        <v>0</v>
      </c>
      <c r="E12" s="26">
        <f>VLOOKUP(1213,季財報!$A:$H,8,0)</f>
        <v>4</v>
      </c>
      <c r="F12" s="183">
        <v>5.2725000000000001E-2</v>
      </c>
      <c r="G12" s="176">
        <v>0</v>
      </c>
      <c r="H12" s="176">
        <v>731852000</v>
      </c>
      <c r="I12" s="174">
        <v>0</v>
      </c>
      <c r="J12" s="176">
        <v>0</v>
      </c>
      <c r="N12" s="32"/>
      <c r="O12" s="32"/>
      <c r="P12" s="177"/>
      <c r="Q12" s="178"/>
      <c r="R12" s="177"/>
      <c r="S12" s="178"/>
      <c r="T12" s="177"/>
      <c r="U12" s="178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>
      <c r="A13" s="65">
        <v>1215</v>
      </c>
      <c r="B13" s="174">
        <v>0.72</v>
      </c>
      <c r="C13" s="183">
        <v>0.94557823129251706</v>
      </c>
      <c r="D13" s="176">
        <v>266666666.66666669</v>
      </c>
      <c r="E13" s="26">
        <f>VLOOKUP(1215,季財報!$A:$H,8,0)</f>
        <v>3</v>
      </c>
      <c r="F13" s="183">
        <v>-1.0833333333333326E-3</v>
      </c>
      <c r="G13" s="176">
        <v>5800000000</v>
      </c>
      <c r="H13" s="176">
        <v>16814979000</v>
      </c>
      <c r="I13" s="174">
        <v>0.34493055269352402</v>
      </c>
      <c r="J13" s="176">
        <v>7.9867356115107908</v>
      </c>
      <c r="N13" s="32"/>
      <c r="O13" s="32"/>
      <c r="P13" s="177"/>
      <c r="Q13" s="178"/>
      <c r="R13" s="177"/>
      <c r="S13" s="178"/>
      <c r="T13" s="177"/>
      <c r="U13" s="178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>
      <c r="A14" s="65">
        <v>1216</v>
      </c>
      <c r="B14" s="174">
        <v>0.68</v>
      </c>
      <c r="C14" s="183">
        <v>0.57225642883013406</v>
      </c>
      <c r="D14" s="176">
        <v>5669117647.0588236</v>
      </c>
      <c r="E14" s="26">
        <f>VLOOKUP(1216,季財報!$A:$H,8,0)</f>
        <v>4</v>
      </c>
      <c r="F14" s="183">
        <v>5.2916666666666693E-3</v>
      </c>
      <c r="G14" s="176">
        <v>310667647058.82349</v>
      </c>
      <c r="H14" s="176">
        <v>417449851000</v>
      </c>
      <c r="I14" s="174">
        <v>0.74420351645741389</v>
      </c>
      <c r="J14" s="176">
        <v>35.206347728964992</v>
      </c>
      <c r="N14" s="32"/>
      <c r="O14" s="32"/>
      <c r="P14" s="177"/>
      <c r="Q14" s="178"/>
      <c r="R14" s="177"/>
      <c r="S14" s="178"/>
      <c r="T14" s="177"/>
      <c r="U14" s="178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>
      <c r="A15" s="65">
        <v>1217</v>
      </c>
      <c r="B15" s="174">
        <v>0.44</v>
      </c>
      <c r="C15" s="183">
        <v>0</v>
      </c>
      <c r="D15" s="176">
        <v>481818181.81818181</v>
      </c>
      <c r="E15" s="26">
        <f>VLOOKUP(1217,季財報!$A:$H,8,0)</f>
        <v>2</v>
      </c>
      <c r="F15" s="183">
        <v>1.7274999999999995E-2</v>
      </c>
      <c r="G15" s="176">
        <v>3498000000</v>
      </c>
      <c r="H15" s="176">
        <v>4584199000</v>
      </c>
      <c r="I15" s="174">
        <v>0.76305587955496701</v>
      </c>
      <c r="J15" s="176">
        <v>0</v>
      </c>
      <c r="N15" s="32"/>
      <c r="O15" s="32"/>
      <c r="P15" s="177"/>
      <c r="Q15" s="178"/>
      <c r="R15" s="177"/>
      <c r="S15" s="178"/>
      <c r="T15" s="177"/>
      <c r="U15" s="178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>
      <c r="A16" s="65">
        <v>1218</v>
      </c>
      <c r="B16" s="174">
        <v>0.3</v>
      </c>
      <c r="C16" s="183">
        <v>0</v>
      </c>
      <c r="D16" s="176">
        <v>336666666.66666669</v>
      </c>
      <c r="E16" s="26">
        <f>VLOOKUP(1218,季財報!$A:$H,8,0)</f>
        <v>3</v>
      </c>
      <c r="F16" s="183">
        <v>2.4833333333333305E-3</v>
      </c>
      <c r="G16" s="176">
        <v>3619166666.666667</v>
      </c>
      <c r="H16" s="176">
        <v>8201971000</v>
      </c>
      <c r="I16" s="174">
        <v>0.44125572580867051</v>
      </c>
      <c r="J16" s="176">
        <v>0</v>
      </c>
      <c r="N16" s="32"/>
      <c r="O16" s="32"/>
      <c r="P16" s="177"/>
      <c r="Q16" s="178"/>
      <c r="R16" s="177"/>
      <c r="S16" s="178"/>
      <c r="T16" s="177"/>
      <c r="U16" s="178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>
      <c r="A17" s="65">
        <v>1219</v>
      </c>
      <c r="B17" s="174">
        <v>0.08</v>
      </c>
      <c r="C17" s="183">
        <v>0.72727272727272729</v>
      </c>
      <c r="D17" s="176">
        <v>312500000</v>
      </c>
      <c r="E17" s="26">
        <f>VLOOKUP(1219,季財報!$A:$H,8,0)</f>
        <v>2</v>
      </c>
      <c r="F17" s="183">
        <v>8.4083333333333302E-3</v>
      </c>
      <c r="G17" s="176">
        <v>4640625000</v>
      </c>
      <c r="H17" s="176">
        <v>9878743000</v>
      </c>
      <c r="I17" s="174">
        <v>0.46975865249252863</v>
      </c>
      <c r="J17" s="176">
        <v>50</v>
      </c>
      <c r="N17" s="32"/>
      <c r="O17" s="32"/>
      <c r="P17" s="177"/>
      <c r="Q17" s="178"/>
      <c r="R17" s="177"/>
      <c r="S17" s="178"/>
      <c r="T17" s="177"/>
      <c r="U17" s="178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>
      <c r="A18" s="65">
        <v>1220</v>
      </c>
      <c r="B18" s="174">
        <v>0.32</v>
      </c>
      <c r="C18" s="183">
        <v>0.78409090909090906</v>
      </c>
      <c r="D18" s="176">
        <v>178125000</v>
      </c>
      <c r="E18" s="26">
        <f>VLOOKUP(1220,季財報!$A:$H,8,0)</f>
        <v>2</v>
      </c>
      <c r="F18" s="183">
        <v>9.799999999999991E-3</v>
      </c>
      <c r="G18" s="176">
        <v>1897031250</v>
      </c>
      <c r="H18" s="176">
        <v>3667756000</v>
      </c>
      <c r="I18" s="174">
        <v>0.51721849817708698</v>
      </c>
      <c r="J18" s="176">
        <v>10.611413043478262</v>
      </c>
      <c r="N18" s="32"/>
      <c r="O18" s="32"/>
      <c r="P18" s="177"/>
      <c r="Q18" s="178"/>
      <c r="R18" s="177"/>
      <c r="S18" s="178"/>
      <c r="T18" s="177"/>
      <c r="U18" s="178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>
      <c r="A19" s="65">
        <v>1225</v>
      </c>
      <c r="B19" s="174">
        <v>0.24</v>
      </c>
      <c r="C19" s="183">
        <v>1</v>
      </c>
      <c r="D19" s="176">
        <v>216666666.66666669</v>
      </c>
      <c r="E19" s="26">
        <f>VLOOKUP(1225,季財報!$A:$H,8,0)</f>
        <v>1</v>
      </c>
      <c r="F19" s="183">
        <v>-5.8333333333338476E-5</v>
      </c>
      <c r="G19" s="176">
        <v>5308333333.333334</v>
      </c>
      <c r="H19" s="176">
        <v>11184829000</v>
      </c>
      <c r="I19" s="174">
        <v>0.4746012060920497</v>
      </c>
      <c r="J19" s="176">
        <v>25.520833333333336</v>
      </c>
      <c r="N19" s="32"/>
      <c r="O19" s="32"/>
      <c r="P19" s="177"/>
      <c r="Q19" s="178"/>
      <c r="R19" s="177"/>
      <c r="S19" s="178"/>
      <c r="T19" s="177"/>
      <c r="U19" s="178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>
      <c r="A20" s="65">
        <v>1227</v>
      </c>
      <c r="B20" s="174">
        <v>1.08</v>
      </c>
      <c r="C20" s="183">
        <v>0.91809991809991809</v>
      </c>
      <c r="D20" s="176">
        <v>783333333.33333325</v>
      </c>
      <c r="E20" s="26">
        <f>VLOOKUP(1227,季財報!$A:$H,8,0)</f>
        <v>4</v>
      </c>
      <c r="F20" s="183">
        <v>4.5083333333333329E-2</v>
      </c>
      <c r="G20" s="176">
        <v>61334999999.999992</v>
      </c>
      <c r="H20" s="176">
        <v>25339280000</v>
      </c>
      <c r="I20" s="174">
        <v>2.4205502287357805</v>
      </c>
      <c r="J20" s="176">
        <v>19.74185994647636</v>
      </c>
      <c r="N20" s="32"/>
      <c r="O20" s="32"/>
      <c r="P20" s="177"/>
      <c r="Q20" s="178"/>
      <c r="R20" s="177"/>
      <c r="S20" s="178"/>
      <c r="T20" s="177"/>
      <c r="U20" s="178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>
      <c r="A21" s="65">
        <v>1229</v>
      </c>
      <c r="B21" s="174">
        <v>0.37</v>
      </c>
      <c r="C21" s="183">
        <v>0.10268714011516315</v>
      </c>
      <c r="D21" s="176">
        <v>883783783.78378379</v>
      </c>
      <c r="E21" s="26">
        <f>VLOOKUP(1229,季財報!$A:$H,8,0)</f>
        <v>1</v>
      </c>
      <c r="F21" s="183">
        <v>3.0833333333333333E-3</v>
      </c>
      <c r="G21" s="176">
        <v>17101216216.216217</v>
      </c>
      <c r="H21" s="176">
        <v>5304233000</v>
      </c>
      <c r="I21" s="174">
        <v>3.2240695716451779</v>
      </c>
      <c r="J21" s="176">
        <v>50</v>
      </c>
      <c r="N21" s="32"/>
      <c r="O21" s="32"/>
      <c r="P21" s="177"/>
      <c r="Q21" s="178"/>
      <c r="R21" s="177"/>
      <c r="S21" s="178"/>
      <c r="T21" s="177"/>
      <c r="U21" s="178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>
      <c r="A22" s="65">
        <v>1231</v>
      </c>
      <c r="B22" s="174">
        <v>0.8</v>
      </c>
      <c r="C22" s="183">
        <v>0.51677852348993292</v>
      </c>
      <c r="D22" s="176">
        <v>147500000</v>
      </c>
      <c r="E22" s="26">
        <f>VLOOKUP(1231,季財報!$A:$H,8,0)</f>
        <v>1</v>
      </c>
      <c r="F22" s="183">
        <v>1.5841666666666667E-2</v>
      </c>
      <c r="G22" s="176">
        <v>4395500000</v>
      </c>
      <c r="H22" s="176">
        <v>6435938000</v>
      </c>
      <c r="I22" s="174">
        <v>0.68296183089395823</v>
      </c>
      <c r="J22" s="176">
        <v>18.020292207792206</v>
      </c>
      <c r="N22" s="32"/>
      <c r="O22" s="32"/>
      <c r="P22" s="177"/>
      <c r="Q22" s="178"/>
      <c r="R22" s="177"/>
      <c r="S22" s="178"/>
      <c r="T22" s="177"/>
      <c r="U22" s="178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>
      <c r="A23" s="65">
        <v>1232</v>
      </c>
      <c r="B23" s="174">
        <v>1.72</v>
      </c>
      <c r="C23" s="183">
        <v>0.85365853658536583</v>
      </c>
      <c r="D23" s="176">
        <v>159302325.58139536</v>
      </c>
      <c r="E23" s="26">
        <f>VLOOKUP(1232,季財報!$A:$H,8,0)</f>
        <v>3</v>
      </c>
      <c r="F23" s="183">
        <v>-1.0858333333333331E-2</v>
      </c>
      <c r="G23" s="176">
        <v>11899883720.930233</v>
      </c>
      <c r="H23" s="176">
        <v>18441823000</v>
      </c>
      <c r="I23" s="174">
        <v>0.64526612802488303</v>
      </c>
      <c r="J23" s="176">
        <v>12.718853820598007</v>
      </c>
      <c r="N23" s="32"/>
      <c r="O23" s="32"/>
      <c r="P23" s="177"/>
      <c r="Q23" s="178"/>
      <c r="R23" s="177"/>
      <c r="S23" s="178"/>
      <c r="T23" s="177"/>
      <c r="U23" s="178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>
      <c r="A24" s="65">
        <v>1233</v>
      </c>
      <c r="B24" s="174">
        <v>0.48</v>
      </c>
      <c r="C24" s="183">
        <v>0.7142857142857143</v>
      </c>
      <c r="D24" s="176">
        <v>89583333.333333343</v>
      </c>
      <c r="E24" s="26">
        <f>VLOOKUP(1233,季財報!$A:$H,8,0)</f>
        <v>3</v>
      </c>
      <c r="F24" s="183">
        <v>4.5666666666666677E-3</v>
      </c>
      <c r="G24" s="176">
        <v>3404166666.666667</v>
      </c>
      <c r="H24" s="176">
        <v>2140408000</v>
      </c>
      <c r="I24" s="174">
        <v>1.5904288652755301</v>
      </c>
      <c r="J24" s="176">
        <v>27.708333333333332</v>
      </c>
      <c r="N24" s="32"/>
      <c r="O24" s="32"/>
      <c r="P24" s="177"/>
      <c r="Q24" s="178"/>
      <c r="R24" s="177"/>
      <c r="S24" s="178"/>
      <c r="T24" s="177"/>
      <c r="U24" s="178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>
      <c r="A25" s="65">
        <v>1234</v>
      </c>
      <c r="B25" s="174">
        <v>0.72</v>
      </c>
      <c r="C25" s="183">
        <v>0.34909909909909909</v>
      </c>
      <c r="D25" s="176">
        <v>404166666.66666669</v>
      </c>
      <c r="E25" s="26">
        <f>VLOOKUP(1234,季財報!$A:$H,8,0)</f>
        <v>5</v>
      </c>
      <c r="F25" s="183">
        <v>1.0741666666666668E-2</v>
      </c>
      <c r="G25" s="176">
        <v>12892916666.666666</v>
      </c>
      <c r="H25" s="176">
        <v>6133143000</v>
      </c>
      <c r="I25" s="174">
        <v>2.1021712141175684</v>
      </c>
      <c r="J25" s="176">
        <v>31.728494623655916</v>
      </c>
      <c r="N25" s="32"/>
      <c r="O25" s="32"/>
      <c r="P25" s="177"/>
      <c r="Q25" s="178"/>
      <c r="R25" s="177"/>
      <c r="S25" s="178"/>
      <c r="T25" s="177"/>
      <c r="U25" s="178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>
      <c r="A26" s="65">
        <v>1235</v>
      </c>
      <c r="B26" s="174">
        <v>0.95</v>
      </c>
      <c r="C26" s="183">
        <v>0</v>
      </c>
      <c r="D26" s="176">
        <v>58947368.421052635</v>
      </c>
      <c r="E26" s="26">
        <f>VLOOKUP(1235,季財報!$A:$H,8,0)</f>
        <v>3</v>
      </c>
      <c r="F26" s="183">
        <v>1.7158333333333317E-2</v>
      </c>
      <c r="G26" s="176">
        <v>1066947368.4210528</v>
      </c>
      <c r="H26" s="176">
        <v>105220000</v>
      </c>
      <c r="I26" s="174">
        <v>10</v>
      </c>
      <c r="J26" s="176">
        <v>0</v>
      </c>
      <c r="N26" s="32"/>
      <c r="O26" s="32"/>
      <c r="P26" s="177"/>
      <c r="Q26" s="178"/>
      <c r="R26" s="177"/>
      <c r="S26" s="178"/>
      <c r="T26" s="177"/>
      <c r="U26" s="178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>
      <c r="A27" s="65">
        <v>1236</v>
      </c>
      <c r="B27" s="174">
        <v>0.09</v>
      </c>
      <c r="C27" s="183">
        <v>1</v>
      </c>
      <c r="D27" s="176">
        <v>111111111.11111112</v>
      </c>
      <c r="E27" s="26">
        <f>VLOOKUP(1236,季財報!$A:$H,8,0)</f>
        <v>1</v>
      </c>
      <c r="F27" s="183">
        <v>6.5475000000000005E-2</v>
      </c>
      <c r="G27" s="176">
        <v>2322222222.2222223</v>
      </c>
      <c r="H27" s="176">
        <v>2327104000</v>
      </c>
      <c r="I27" s="174">
        <v>0.99790220902126525</v>
      </c>
      <c r="J27" s="176">
        <v>50</v>
      </c>
      <c r="N27" s="32"/>
      <c r="O27" s="32"/>
      <c r="P27" s="177"/>
      <c r="Q27" s="178"/>
      <c r="R27" s="177"/>
      <c r="S27" s="178"/>
      <c r="T27" s="177"/>
      <c r="U27" s="178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>
      <c r="A28" s="65">
        <v>1256</v>
      </c>
      <c r="B28" s="174">
        <v>2.58</v>
      </c>
      <c r="C28" s="183">
        <v>1</v>
      </c>
      <c r="D28" s="176">
        <v>27131782.945736434</v>
      </c>
      <c r="E28" s="26">
        <f>VLOOKUP(1256,季財報!$A:$H,8,0)</f>
        <v>1</v>
      </c>
      <c r="F28" s="183">
        <v>9.9224999999999966E-2</v>
      </c>
      <c r="G28" s="176">
        <v>3771317829.4573646</v>
      </c>
      <c r="H28" s="176">
        <v>2369159000</v>
      </c>
      <c r="I28" s="174">
        <v>1.591838213246711</v>
      </c>
      <c r="J28" s="176">
        <v>13.468992248062015</v>
      </c>
      <c r="N28" s="32"/>
      <c r="O28" s="32"/>
      <c r="P28" s="177"/>
      <c r="Q28" s="178"/>
      <c r="R28" s="177"/>
      <c r="S28" s="178"/>
      <c r="T28" s="177"/>
      <c r="U28" s="178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>
      <c r="A29" s="65">
        <v>1258</v>
      </c>
      <c r="B29" s="174">
        <v>1.32</v>
      </c>
      <c r="C29" s="183">
        <v>1</v>
      </c>
      <c r="D29" s="176">
        <v>34090909.090909086</v>
      </c>
      <c r="E29" s="26">
        <f>VLOOKUP(1258,季財報!$A:$H,8,0)</f>
        <v>6</v>
      </c>
      <c r="F29" s="183">
        <v>4.1841666666666666E-2</v>
      </c>
      <c r="G29" s="176">
        <v>1418181818.181818</v>
      </c>
      <c r="H29" s="176">
        <v>1684577000</v>
      </c>
      <c r="I29" s="174">
        <v>0.84186227057701613</v>
      </c>
      <c r="J29" s="176">
        <v>7.8787878787878789</v>
      </c>
      <c r="N29" s="32"/>
      <c r="O29" s="32"/>
      <c r="P29" s="177"/>
      <c r="Q29" s="178"/>
      <c r="R29" s="177"/>
      <c r="S29" s="178"/>
      <c r="T29" s="177"/>
      <c r="U29" s="178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>
      <c r="A30" s="65">
        <v>1259</v>
      </c>
      <c r="B30" s="174">
        <v>1.66</v>
      </c>
      <c r="C30" s="183">
        <v>1</v>
      </c>
      <c r="D30" s="176">
        <v>32530120.481927712</v>
      </c>
      <c r="E30" s="26">
        <f>VLOOKUP(1259,季財報!$A:$H,8,0)</f>
        <v>3</v>
      </c>
      <c r="F30" s="183">
        <v>1.2641666666666664E-2</v>
      </c>
      <c r="G30" s="176">
        <v>2068915662.6506026</v>
      </c>
      <c r="H30" s="176">
        <v>4369899000</v>
      </c>
      <c r="I30" s="174">
        <v>0.47344702077796363</v>
      </c>
      <c r="J30" s="176">
        <v>9.5783132530120483</v>
      </c>
      <c r="N30" s="32"/>
      <c r="O30" s="32"/>
      <c r="P30" s="177"/>
      <c r="Q30" s="178"/>
      <c r="R30" s="177"/>
      <c r="S30" s="178"/>
      <c r="T30" s="177"/>
      <c r="U30" s="178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>
      <c r="A31" s="65">
        <v>1262</v>
      </c>
      <c r="B31" s="174">
        <v>2.73</v>
      </c>
      <c r="C31" s="183">
        <v>1</v>
      </c>
      <c r="D31" s="176">
        <v>148351648.35164836</v>
      </c>
      <c r="E31" s="26">
        <f>VLOOKUP(1262,季財報!$A:$H,8,0)</f>
        <v>3</v>
      </c>
      <c r="F31" s="183">
        <v>9.4166666666666823E-4</v>
      </c>
      <c r="G31" s="176">
        <v>19508241758.24176</v>
      </c>
      <c r="H31" s="176">
        <v>6175954000</v>
      </c>
      <c r="I31" s="174">
        <v>3.1587414281650674</v>
      </c>
      <c r="J31" s="176">
        <v>12.042124542124542</v>
      </c>
      <c r="N31" s="32"/>
      <c r="O31" s="32"/>
      <c r="P31" s="177"/>
      <c r="Q31" s="178"/>
      <c r="R31" s="177"/>
      <c r="S31" s="178"/>
      <c r="T31" s="177"/>
      <c r="U31" s="178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>
      <c r="A32" s="65">
        <v>1264</v>
      </c>
      <c r="B32" s="174">
        <v>3.14</v>
      </c>
      <c r="C32" s="183">
        <v>1</v>
      </c>
      <c r="D32" s="176">
        <v>30573248.407643311</v>
      </c>
      <c r="E32" s="26">
        <f>VLOOKUP(1264,季財報!$A:$H,8,0)</f>
        <v>2</v>
      </c>
      <c r="F32" s="183">
        <v>2.2249999999999995E-2</v>
      </c>
      <c r="G32" s="176">
        <v>5839490445.8598728</v>
      </c>
      <c r="H32" s="176">
        <v>3833927000</v>
      </c>
      <c r="I32" s="174">
        <v>1.5231094504042129</v>
      </c>
      <c r="J32" s="176">
        <v>15.20700636942675</v>
      </c>
      <c r="N32" s="32"/>
      <c r="O32" s="32"/>
      <c r="P32" s="177"/>
      <c r="Q32" s="178"/>
      <c r="R32" s="177"/>
      <c r="S32" s="178"/>
      <c r="T32" s="177"/>
      <c r="U32" s="178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>
      <c r="A33" s="65">
        <v>1301</v>
      </c>
      <c r="B33" s="174">
        <v>1.65</v>
      </c>
      <c r="C33" s="183">
        <v>0.16750035061474453</v>
      </c>
      <c r="D33" s="176">
        <v>6381818181.818182</v>
      </c>
      <c r="E33" s="26">
        <f>VLOOKUP(1301,季財報!$A:$H,8,0)</f>
        <v>2</v>
      </c>
      <c r="F33" s="183">
        <v>8.2749999999999994E-3</v>
      </c>
      <c r="G33" s="176">
        <v>485018181818.18182</v>
      </c>
      <c r="H33" s="176">
        <v>195480013000</v>
      </c>
      <c r="I33" s="174">
        <v>2.4811650785913435</v>
      </c>
      <c r="J33" s="176">
        <v>50</v>
      </c>
      <c r="N33" s="32"/>
      <c r="O33" s="32"/>
      <c r="P33" s="177"/>
      <c r="Q33" s="178"/>
      <c r="R33" s="177"/>
      <c r="S33" s="178"/>
      <c r="T33" s="177"/>
      <c r="U33" s="178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>
      <c r="A34" s="65">
        <v>1303</v>
      </c>
      <c r="B34" s="174">
        <v>1.27</v>
      </c>
      <c r="C34" s="183">
        <v>0.23281547381932458</v>
      </c>
      <c r="D34" s="176">
        <v>7901574803.1496058</v>
      </c>
      <c r="E34" s="26">
        <f>VLOOKUP(1303,季財報!$A:$H,8,0)</f>
        <v>2</v>
      </c>
      <c r="F34" s="183">
        <v>-6.3833333333333303E-3</v>
      </c>
      <c r="G34" s="176">
        <v>488317322834.64563</v>
      </c>
      <c r="H34" s="176">
        <v>309737591000</v>
      </c>
      <c r="I34" s="174">
        <v>1.5765516909268067</v>
      </c>
      <c r="J34" s="176">
        <v>50</v>
      </c>
      <c r="N34" s="32"/>
      <c r="O34" s="32"/>
      <c r="P34" s="177"/>
      <c r="Q34" s="178"/>
      <c r="R34" s="177"/>
      <c r="S34" s="178"/>
      <c r="T34" s="177"/>
      <c r="U34" s="178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>
      <c r="A35" s="65">
        <v>1304</v>
      </c>
      <c r="B35" s="174">
        <v>0.13</v>
      </c>
      <c r="C35" s="183">
        <v>0.62114537444933926</v>
      </c>
      <c r="D35" s="176">
        <v>1061538461.5384614</v>
      </c>
      <c r="E35" s="26">
        <f>VLOOKUP(1304,季財報!$A:$H,8,0)</f>
        <v>1</v>
      </c>
      <c r="F35" s="183">
        <v>1.6416666666666652E-3</v>
      </c>
      <c r="G35" s="176">
        <v>13853076923.076923</v>
      </c>
      <c r="H35" s="176">
        <v>52731553000</v>
      </c>
      <c r="I35" s="174">
        <v>0.2627094431123036</v>
      </c>
      <c r="J35" s="176">
        <v>40.403027823240592</v>
      </c>
      <c r="N35" s="32"/>
      <c r="O35" s="32"/>
      <c r="P35" s="177"/>
      <c r="Q35" s="178"/>
      <c r="R35" s="177"/>
      <c r="S35" s="178"/>
      <c r="T35" s="177"/>
      <c r="U35" s="178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>
      <c r="A36" s="65">
        <v>1305</v>
      </c>
      <c r="B36" s="174">
        <v>0.18</v>
      </c>
      <c r="C36" s="183">
        <v>0.82440476190476186</v>
      </c>
      <c r="D36" s="176">
        <v>461111111.1111111</v>
      </c>
      <c r="E36" s="26">
        <f>VLOOKUP(1305,季財報!$A:$H,8,0)</f>
        <v>2</v>
      </c>
      <c r="F36" s="183">
        <v>2.2683333333333333E-2</v>
      </c>
      <c r="G36" s="176">
        <v>7078055555.5555553</v>
      </c>
      <c r="H36" s="176">
        <v>13675185000</v>
      </c>
      <c r="I36" s="174">
        <v>0.5175838978087357</v>
      </c>
      <c r="J36" s="176">
        <v>25.860409145607704</v>
      </c>
      <c r="N36" s="32"/>
      <c r="O36" s="32"/>
      <c r="P36" s="177"/>
      <c r="Q36" s="178"/>
      <c r="R36" s="177"/>
      <c r="S36" s="178"/>
      <c r="T36" s="177"/>
      <c r="U36" s="178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>
      <c r="A37" s="65">
        <v>1307</v>
      </c>
      <c r="B37" s="174">
        <v>0.87</v>
      </c>
      <c r="C37" s="183">
        <v>0.9027027027027027</v>
      </c>
      <c r="D37" s="176">
        <v>385057471.26436782</v>
      </c>
      <c r="E37" s="26">
        <f>VLOOKUP(1307,季財報!$A:$H,8,0)</f>
        <v>5</v>
      </c>
      <c r="F37" s="183">
        <v>1.8025000000000003E-2</v>
      </c>
      <c r="G37" s="176">
        <v>16384195402.298849</v>
      </c>
      <c r="H37" s="176">
        <v>11314870000</v>
      </c>
      <c r="I37" s="174">
        <v>1.4480233005150611</v>
      </c>
      <c r="J37" s="176">
        <v>13.544892972675338</v>
      </c>
      <c r="N37" s="32"/>
      <c r="O37" s="32"/>
      <c r="P37" s="177"/>
      <c r="Q37" s="178"/>
      <c r="R37" s="177"/>
      <c r="S37" s="178"/>
      <c r="T37" s="177"/>
      <c r="U37" s="178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>
      <c r="A38" s="65">
        <v>1308</v>
      </c>
      <c r="B38" s="174">
        <v>0.21</v>
      </c>
      <c r="C38" s="183">
        <v>0.55633802816901412</v>
      </c>
      <c r="D38" s="176">
        <v>495238095.23809528</v>
      </c>
      <c r="E38" s="26">
        <f>VLOOKUP(1308,季財報!$A:$H,8,0)</f>
        <v>1</v>
      </c>
      <c r="F38" s="183">
        <v>1.2541666666666665E-2</v>
      </c>
      <c r="G38" s="176">
        <v>8864761904.7619057</v>
      </c>
      <c r="H38" s="176">
        <v>4942352000</v>
      </c>
      <c r="I38" s="174">
        <v>1.7936322432643215</v>
      </c>
      <c r="J38" s="176">
        <v>38.303194695599757</v>
      </c>
      <c r="N38" s="32"/>
      <c r="O38" s="32"/>
      <c r="P38" s="177"/>
      <c r="Q38" s="178"/>
      <c r="R38" s="177"/>
      <c r="S38" s="178"/>
      <c r="T38" s="177"/>
      <c r="U38" s="178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>
      <c r="A39" s="65">
        <v>1309</v>
      </c>
      <c r="B39" s="174">
        <v>-0.55000000000000004</v>
      </c>
      <c r="C39" s="183">
        <v>1</v>
      </c>
      <c r="D39" s="176">
        <v>329090909.09090906</v>
      </c>
      <c r="E39" s="26">
        <f>VLOOKUP(1309,季財報!$A:$H,8,0)</f>
        <v>0</v>
      </c>
      <c r="F39" s="183">
        <v>-1.4091666666666664E-2</v>
      </c>
      <c r="G39" s="176">
        <v>2507672727.272727</v>
      </c>
      <c r="H39" s="176">
        <v>17714660000</v>
      </c>
      <c r="I39" s="174">
        <v>0.14155917907951532</v>
      </c>
      <c r="J39" s="176">
        <v>0</v>
      </c>
      <c r="N39" s="32"/>
      <c r="O39" s="32"/>
      <c r="P39" s="177"/>
      <c r="Q39" s="178"/>
      <c r="R39" s="177"/>
      <c r="S39" s="178"/>
      <c r="T39" s="177"/>
      <c r="U39" s="178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>
      <c r="A40" s="65">
        <v>1310</v>
      </c>
      <c r="B40" s="174">
        <v>0.15</v>
      </c>
      <c r="C40" s="183">
        <v>1</v>
      </c>
      <c r="D40" s="176">
        <v>526666666.66666669</v>
      </c>
      <c r="E40" s="26">
        <f>VLOOKUP(1310,季財報!$A:$H,8,0)</f>
        <v>2</v>
      </c>
      <c r="F40" s="183">
        <v>6.2016666666666685E-2</v>
      </c>
      <c r="G40" s="176">
        <v>7320666666.666667</v>
      </c>
      <c r="H40" s="176">
        <v>12871099000</v>
      </c>
      <c r="I40" s="174">
        <v>0.56876780037716024</v>
      </c>
      <c r="J40" s="176">
        <v>23.166666666666668</v>
      </c>
      <c r="N40" s="32"/>
      <c r="O40" s="32"/>
      <c r="P40" s="177"/>
      <c r="Q40" s="178"/>
      <c r="R40" s="177"/>
      <c r="S40" s="178"/>
      <c r="T40" s="177"/>
      <c r="U40" s="178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>
      <c r="A41" s="65">
        <v>1312</v>
      </c>
      <c r="B41" s="174">
        <v>0.16</v>
      </c>
      <c r="C41" s="183">
        <v>0.93392504930966469</v>
      </c>
      <c r="D41" s="176">
        <v>900000000</v>
      </c>
      <c r="E41" s="26">
        <f>VLOOKUP(1312,季財報!$A:$H,8,0)</f>
        <v>2</v>
      </c>
      <c r="F41" s="183">
        <v>-3.7699999999999997E-2</v>
      </c>
      <c r="G41" s="176">
        <v>12960000000</v>
      </c>
      <c r="H41" s="176">
        <v>20498199000</v>
      </c>
      <c r="I41" s="174">
        <v>0.63225066748547032</v>
      </c>
      <c r="J41" s="176">
        <v>24.091869060190074</v>
      </c>
      <c r="N41" s="32"/>
      <c r="O41" s="32"/>
      <c r="P41" s="177"/>
      <c r="Q41" s="178"/>
      <c r="R41" s="177"/>
      <c r="S41" s="178"/>
      <c r="T41" s="177"/>
      <c r="U41" s="178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>
      <c r="A42" s="65">
        <v>1313</v>
      </c>
      <c r="B42" s="174">
        <v>-0.21</v>
      </c>
      <c r="C42" s="183">
        <v>0.11842105263157894</v>
      </c>
      <c r="D42" s="176">
        <v>1171428571.4285715</v>
      </c>
      <c r="E42" s="26">
        <f>VLOOKUP(1313,季財報!$A:$H,8,0)</f>
        <v>0</v>
      </c>
      <c r="F42" s="183">
        <v>1.585E-2</v>
      </c>
      <c r="G42" s="176">
        <v>10578000000</v>
      </c>
      <c r="H42" s="176">
        <v>45699494000</v>
      </c>
      <c r="I42" s="174">
        <v>0.23146864602045703</v>
      </c>
      <c r="J42" s="176">
        <v>0</v>
      </c>
      <c r="N42" s="32"/>
      <c r="O42" s="32"/>
      <c r="P42" s="177"/>
      <c r="Q42" s="178"/>
      <c r="R42" s="177"/>
      <c r="S42" s="178"/>
      <c r="T42" s="177"/>
      <c r="U42" s="178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>
      <c r="A43" s="65">
        <v>1314</v>
      </c>
      <c r="B43" s="174">
        <v>-0.17</v>
      </c>
      <c r="C43" s="183">
        <v>1</v>
      </c>
      <c r="D43" s="176">
        <v>2276470588.2352939</v>
      </c>
      <c r="E43" s="26">
        <f>VLOOKUP(1314,季財報!$A:$H,8,0)</f>
        <v>2</v>
      </c>
      <c r="F43" s="183">
        <v>-4.6916666666666662E-2</v>
      </c>
      <c r="G43" s="176">
        <v>18211764705.882351</v>
      </c>
      <c r="H43" s="176">
        <v>27544829000</v>
      </c>
      <c r="I43" s="174">
        <v>0.66116818898684582</v>
      </c>
      <c r="J43" s="176">
        <v>0</v>
      </c>
      <c r="N43" s="32"/>
      <c r="O43" s="32"/>
      <c r="P43" s="177"/>
      <c r="Q43" s="178"/>
      <c r="R43" s="177"/>
      <c r="S43" s="178"/>
      <c r="T43" s="177"/>
      <c r="U43" s="178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>
      <c r="A44" s="65">
        <v>1315</v>
      </c>
      <c r="B44" s="174">
        <v>0.96</v>
      </c>
      <c r="C44" s="183">
        <v>0.11483253588516747</v>
      </c>
      <c r="D44" s="176">
        <v>190625000</v>
      </c>
      <c r="E44" s="26">
        <f>VLOOKUP(1315,季財報!$A:$H,8,0)</f>
        <v>4</v>
      </c>
      <c r="F44" s="183">
        <v>5.8333333333333382E-4</v>
      </c>
      <c r="G44" s="176">
        <v>4508281250</v>
      </c>
      <c r="H44" s="176">
        <v>2788786000</v>
      </c>
      <c r="I44" s="174">
        <v>1.6165748286171833</v>
      </c>
      <c r="J44" s="176">
        <v>50</v>
      </c>
      <c r="N44" s="32"/>
      <c r="O44" s="32"/>
      <c r="P44" s="177"/>
      <c r="Q44" s="178"/>
      <c r="R44" s="32"/>
      <c r="S44" s="32"/>
      <c r="T44" s="177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>
      <c r="A45" s="65">
        <v>1316</v>
      </c>
      <c r="B45" s="174">
        <v>-0.19</v>
      </c>
      <c r="C45" s="183">
        <v>1</v>
      </c>
      <c r="D45" s="176">
        <v>157894736.84210527</v>
      </c>
      <c r="E45" s="26">
        <f>VLOOKUP(1316,季財報!$A:$H,8,0)</f>
        <v>1</v>
      </c>
      <c r="F45" s="183">
        <v>4.968333333333335E-2</v>
      </c>
      <c r="G45" s="176">
        <v>1602631578.9473686</v>
      </c>
      <c r="H45" s="176">
        <v>876689000</v>
      </c>
      <c r="I45" s="174">
        <v>1.8280502880124749</v>
      </c>
      <c r="J45" s="176">
        <v>0</v>
      </c>
      <c r="N45" s="32"/>
      <c r="O45" s="32"/>
      <c r="P45" s="177"/>
      <c r="Q45" s="178"/>
      <c r="R45" s="32"/>
      <c r="S45" s="32"/>
      <c r="T45" s="177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>
      <c r="A46" s="65">
        <v>1319</v>
      </c>
      <c r="B46" s="174">
        <v>0.82</v>
      </c>
      <c r="C46" s="183">
        <v>0.8876221498371335</v>
      </c>
      <c r="D46" s="176">
        <v>591463414.63414633</v>
      </c>
      <c r="E46" s="26">
        <f>VLOOKUP(1319,季財報!$A:$H,8,0)</f>
        <v>3</v>
      </c>
      <c r="F46" s="183">
        <v>1.0425000000000002E-2</v>
      </c>
      <c r="G46" s="176">
        <v>23274085365.853661</v>
      </c>
      <c r="H46" s="176">
        <v>22009041000</v>
      </c>
      <c r="I46" s="174">
        <v>1.0574783956217657</v>
      </c>
      <c r="J46" s="176">
        <v>13.515831282166035</v>
      </c>
      <c r="N46" s="32"/>
      <c r="O46" s="32"/>
      <c r="P46" s="177"/>
      <c r="Q46" s="178"/>
      <c r="R46" s="32"/>
      <c r="S46" s="32"/>
      <c r="T46" s="177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>
      <c r="A47" s="65">
        <v>1321</v>
      </c>
      <c r="B47" s="174">
        <v>0.2</v>
      </c>
      <c r="C47" s="183">
        <v>0.41791044776119401</v>
      </c>
      <c r="D47" s="176">
        <v>220000000</v>
      </c>
      <c r="E47" s="26">
        <f>VLOOKUP(1321,季財報!$A:$H,8,0)</f>
        <v>4</v>
      </c>
      <c r="F47" s="183">
        <v>7.4999999999999947E-4</v>
      </c>
      <c r="G47" s="176">
        <v>6160000000</v>
      </c>
      <c r="H47" s="176">
        <v>4744533000</v>
      </c>
      <c r="I47" s="174">
        <v>1.2983364221515585</v>
      </c>
      <c r="J47" s="176">
        <v>50</v>
      </c>
      <c r="N47" s="32"/>
      <c r="O47" s="32"/>
      <c r="P47" s="177"/>
      <c r="Q47" s="178"/>
      <c r="R47" s="32"/>
      <c r="S47" s="32"/>
      <c r="T47" s="177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>
      <c r="A48" s="65">
        <v>1323</v>
      </c>
      <c r="B48" s="174">
        <v>0.69</v>
      </c>
      <c r="C48" s="183">
        <v>0.79611650485436891</v>
      </c>
      <c r="D48" s="176">
        <v>91304347.826086968</v>
      </c>
      <c r="E48" s="26">
        <f>VLOOKUP(1323,季財報!$A:$H,8,0)</f>
        <v>2</v>
      </c>
      <c r="F48" s="183">
        <v>5.8750000000000017E-3</v>
      </c>
      <c r="G48" s="176">
        <v>2483478260.8695655</v>
      </c>
      <c r="H48" s="176">
        <v>3176482000</v>
      </c>
      <c r="I48" s="174">
        <v>0.78183293998504177</v>
      </c>
      <c r="J48" s="176">
        <v>12.378932484977026</v>
      </c>
      <c r="N48" s="32"/>
      <c r="O48" s="32"/>
      <c r="P48" s="177"/>
      <c r="Q48" s="178"/>
      <c r="R48" s="32"/>
      <c r="S48" s="32"/>
      <c r="T48" s="177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>
      <c r="A49" s="65">
        <v>1324</v>
      </c>
      <c r="B49" s="174">
        <v>0.28000000000000003</v>
      </c>
      <c r="C49" s="183">
        <v>0.80555555555555558</v>
      </c>
      <c r="D49" s="176">
        <v>75000000</v>
      </c>
      <c r="E49" s="26">
        <f>VLOOKUP(1324,季財報!$A:$H,8,0)</f>
        <v>2</v>
      </c>
      <c r="F49" s="183">
        <v>-9.158333333333336E-3</v>
      </c>
      <c r="G49" s="176">
        <v>911250000</v>
      </c>
      <c r="H49" s="176">
        <v>1295702000</v>
      </c>
      <c r="I49" s="174">
        <v>0.70328671253112207</v>
      </c>
      <c r="J49" s="176">
        <v>13.466748768472904</v>
      </c>
      <c r="N49" s="32"/>
      <c r="O49" s="32"/>
      <c r="P49" s="177"/>
      <c r="Q49" s="178"/>
      <c r="R49" s="32"/>
      <c r="S49" s="32"/>
      <c r="T49" s="177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>
      <c r="A50" s="65">
        <v>1325</v>
      </c>
      <c r="B50" s="174">
        <v>0.36</v>
      </c>
      <c r="C50" s="183">
        <v>0.56603773584905659</v>
      </c>
      <c r="D50" s="176">
        <v>100000000</v>
      </c>
      <c r="E50" s="26">
        <f>VLOOKUP(1325,季財報!$A:$H,8,0)</f>
        <v>3</v>
      </c>
      <c r="F50" s="183">
        <v>1.400000000000003E-3</v>
      </c>
      <c r="G50" s="176">
        <v>2075000000</v>
      </c>
      <c r="H50" s="176">
        <v>1180347000</v>
      </c>
      <c r="I50" s="174">
        <v>1.75795761754806</v>
      </c>
      <c r="J50" s="176">
        <v>25.457175925925927</v>
      </c>
      <c r="N50" s="32"/>
      <c r="O50" s="32"/>
      <c r="P50" s="177"/>
      <c r="Q50" s="178"/>
      <c r="R50" s="32"/>
      <c r="S50" s="32"/>
      <c r="T50" s="177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>
      <c r="A51" s="65">
        <v>1326</v>
      </c>
      <c r="B51" s="174">
        <v>1.33</v>
      </c>
      <c r="C51" s="183">
        <v>0.3373319338231619</v>
      </c>
      <c r="D51" s="176">
        <v>5868421052.6315784</v>
      </c>
      <c r="E51" s="26">
        <f>VLOOKUP(1326,季財報!$A:$H,8,0)</f>
        <v>2</v>
      </c>
      <c r="F51" s="183">
        <v>-6.9250000000000015E-3</v>
      </c>
      <c r="G51" s="176">
        <v>421939473684.21051</v>
      </c>
      <c r="H51" s="176">
        <v>336677419000</v>
      </c>
      <c r="I51" s="174">
        <v>1.2532455397141158</v>
      </c>
      <c r="J51" s="176">
        <v>40.064506911076769</v>
      </c>
      <c r="N51" s="32"/>
      <c r="O51" s="32"/>
      <c r="P51" s="177"/>
      <c r="Q51" s="178"/>
      <c r="R51" s="32"/>
      <c r="S51" s="32"/>
      <c r="T51" s="177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>
      <c r="A52" s="65">
        <v>1333</v>
      </c>
      <c r="B52" s="174">
        <v>0.02</v>
      </c>
      <c r="C52" s="183">
        <v>1</v>
      </c>
      <c r="D52" s="176">
        <v>100000000</v>
      </c>
      <c r="E52" s="26">
        <f>VLOOKUP(1333,季財報!$A:$H,8,0)</f>
        <v>3</v>
      </c>
      <c r="F52" s="183">
        <v>-1.0541666666666666E-2</v>
      </c>
      <c r="G52" s="176">
        <v>590000000</v>
      </c>
      <c r="H52" s="176">
        <v>911507000</v>
      </c>
      <c r="I52" s="174">
        <v>0.64727972467572936</v>
      </c>
      <c r="J52" s="176">
        <v>50</v>
      </c>
      <c r="N52" s="32"/>
      <c r="O52" s="32"/>
      <c r="P52" s="177"/>
      <c r="Q52" s="178"/>
      <c r="R52" s="32"/>
      <c r="S52" s="32"/>
      <c r="T52" s="177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>
      <c r="A53" s="65">
        <v>1336</v>
      </c>
      <c r="B53" s="174">
        <v>-0.54</v>
      </c>
      <c r="C53" s="183">
        <v>1</v>
      </c>
      <c r="D53" s="176">
        <v>62962962.962962955</v>
      </c>
      <c r="E53" s="26">
        <f>VLOOKUP(1336,季財報!$A:$H,8,0)</f>
        <v>2</v>
      </c>
      <c r="F53" s="183">
        <v>6.136666666666666E-2</v>
      </c>
      <c r="G53" s="176">
        <v>532666666.66666663</v>
      </c>
      <c r="H53" s="176">
        <v>1775192000</v>
      </c>
      <c r="I53" s="174">
        <v>0.30006143936355428</v>
      </c>
      <c r="J53" s="176">
        <v>0</v>
      </c>
      <c r="N53" s="32"/>
      <c r="O53" s="32"/>
      <c r="P53" s="177"/>
      <c r="Q53" s="178"/>
      <c r="R53" s="32"/>
      <c r="S53" s="32"/>
      <c r="T53" s="177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>
      <c r="A54" s="65">
        <v>1337</v>
      </c>
      <c r="B54" s="174">
        <v>0.43</v>
      </c>
      <c r="C54" s="183">
        <v>0.89726027397260277</v>
      </c>
      <c r="D54" s="176">
        <v>260465116.27906978</v>
      </c>
      <c r="E54" s="26">
        <f>VLOOKUP(1337,季財報!$A:$H,8,0)</f>
        <v>3</v>
      </c>
      <c r="F54" s="183">
        <v>7.2691666666666668E-2</v>
      </c>
      <c r="G54" s="176">
        <v>5626046511.6279078</v>
      </c>
      <c r="H54" s="176">
        <v>4670065000</v>
      </c>
      <c r="I54" s="174">
        <v>1.2047041126039804</v>
      </c>
      <c r="J54" s="176">
        <v>13.996094443458194</v>
      </c>
      <c r="N54" s="32"/>
      <c r="O54" s="32"/>
      <c r="P54" s="177"/>
      <c r="Q54" s="178"/>
      <c r="R54" s="32"/>
      <c r="S54" s="32"/>
      <c r="T54" s="177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>
      <c r="A55" s="65">
        <v>1338</v>
      </c>
      <c r="B55" s="174">
        <v>2.14</v>
      </c>
      <c r="C55" s="183">
        <v>0.89729729729729735</v>
      </c>
      <c r="D55" s="176">
        <v>83644859.813084111</v>
      </c>
      <c r="E55" s="26">
        <f>VLOOKUP(1338,季財報!$A:$H,8,0)</f>
        <v>2</v>
      </c>
      <c r="F55" s="183">
        <v>2.3208333333333331E-2</v>
      </c>
      <c r="G55" s="176">
        <v>11877570093.457943</v>
      </c>
      <c r="H55" s="176">
        <v>8230898000</v>
      </c>
      <c r="I55" s="174">
        <v>1.4430466874280234</v>
      </c>
      <c r="J55" s="176">
        <v>18.487501407499153</v>
      </c>
      <c r="N55" s="32"/>
      <c r="O55" s="32"/>
      <c r="P55" s="177"/>
      <c r="Q55" s="32"/>
      <c r="R55" s="32"/>
      <c r="S55" s="32"/>
      <c r="T55" s="177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>
      <c r="A56" s="65">
        <v>1339</v>
      </c>
      <c r="B56" s="174">
        <v>1.55</v>
      </c>
      <c r="C56" s="183">
        <v>0.6506024096385542</v>
      </c>
      <c r="D56" s="176">
        <v>74838709.67741935</v>
      </c>
      <c r="E56" s="26">
        <f>VLOOKUP(1339,季財報!$A:$H,8,0)</f>
        <v>3</v>
      </c>
      <c r="F56" s="183">
        <v>5.5891666666666673E-2</v>
      </c>
      <c r="G56" s="176">
        <v>4789677419.3548384</v>
      </c>
      <c r="H56" s="176">
        <v>1936845000</v>
      </c>
      <c r="I56" s="174">
        <v>2.4729275803457882</v>
      </c>
      <c r="J56" s="176">
        <v>15.866188769414578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>
      <c r="A57" s="65">
        <v>1340</v>
      </c>
      <c r="B57" s="174">
        <v>2.2999999999999998</v>
      </c>
      <c r="C57" s="183">
        <v>0.85390946502057619</v>
      </c>
      <c r="D57" s="176">
        <v>114782608.69565219</v>
      </c>
      <c r="E57" s="26">
        <f>VLOOKUP(1340,季財報!$A:$H,8,0)</f>
        <v>2</v>
      </c>
      <c r="F57" s="183">
        <v>5.6324999999999993E-2</v>
      </c>
      <c r="G57" s="176">
        <v>8700521739.1304359</v>
      </c>
      <c r="H57" s="176">
        <v>3210353000</v>
      </c>
      <c r="I57" s="174">
        <v>2.7101448778780513</v>
      </c>
      <c r="J57" s="176">
        <v>9.6487166055526448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>
      <c r="A58" s="65">
        <v>1402</v>
      </c>
      <c r="B58" s="174">
        <v>0.15</v>
      </c>
      <c r="C58" s="183">
        <v>0.56670416197975249</v>
      </c>
      <c r="D58" s="176">
        <v>5160000000</v>
      </c>
      <c r="E58" s="26">
        <f>VLOOKUP(1402,季財報!$A:$H,8,0)</f>
        <v>1</v>
      </c>
      <c r="F58" s="183">
        <v>5.6666666666666662E-3</v>
      </c>
      <c r="G58" s="176">
        <v>136740000000</v>
      </c>
      <c r="H58" s="176">
        <v>220475311000</v>
      </c>
      <c r="I58" s="174">
        <v>0.62020549774845313</v>
      </c>
      <c r="J58" s="176">
        <v>50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>
      <c r="A59" s="65">
        <v>1410</v>
      </c>
      <c r="B59" s="174">
        <v>0.47</v>
      </c>
      <c r="C59" s="183">
        <v>0.88732394366197187</v>
      </c>
      <c r="D59" s="176">
        <v>72340425.531914905</v>
      </c>
      <c r="E59" s="26">
        <f>VLOOKUP(1410,季財報!$A:$H,8,0)</f>
        <v>2</v>
      </c>
      <c r="F59" s="183">
        <v>2.0308333333333334E-2</v>
      </c>
      <c r="G59" s="176">
        <v>1700000000.0000002</v>
      </c>
      <c r="H59" s="176">
        <v>627366000</v>
      </c>
      <c r="I59" s="174">
        <v>2.7097420006822177</v>
      </c>
      <c r="J59" s="176">
        <v>14.087301587301587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>
      <c r="A60" s="65">
        <v>1413</v>
      </c>
      <c r="B60" s="174">
        <v>-0.28000000000000003</v>
      </c>
      <c r="C60" s="183">
        <v>0</v>
      </c>
      <c r="D60" s="176">
        <v>132142857.14285713</v>
      </c>
      <c r="E60" s="26">
        <f>VLOOKUP(1413,季財報!$A:$H,8,0)</f>
        <v>2</v>
      </c>
      <c r="F60" s="183">
        <v>-1.5325E-2</v>
      </c>
      <c r="G60" s="176">
        <v>1055821428.5714285</v>
      </c>
      <c r="H60" s="176">
        <v>2623238000</v>
      </c>
      <c r="I60" s="174">
        <v>0.40248785225413347</v>
      </c>
      <c r="J60" s="176">
        <v>0</v>
      </c>
    </row>
    <row r="61" spans="1:30">
      <c r="A61" s="65">
        <v>1414</v>
      </c>
      <c r="B61" s="174">
        <v>0.06</v>
      </c>
      <c r="C61" s="183">
        <v>0</v>
      </c>
      <c r="D61" s="176">
        <v>200000000</v>
      </c>
      <c r="E61" s="26">
        <f>VLOOKUP(1414,季財報!$A:$H,8,0)</f>
        <v>2</v>
      </c>
      <c r="F61" s="183">
        <v>-2.5475000000000001E-2</v>
      </c>
      <c r="G61" s="176">
        <v>1352000000</v>
      </c>
      <c r="H61" s="176">
        <v>1109972000</v>
      </c>
      <c r="I61" s="174">
        <v>1.2180487435719098</v>
      </c>
      <c r="J61" s="176">
        <v>0</v>
      </c>
      <c r="P61" s="175"/>
      <c r="Q61" s="175"/>
      <c r="R61" s="175"/>
      <c r="S61" s="175"/>
      <c r="T61" s="175"/>
      <c r="U61" s="175"/>
      <c r="V61" s="175"/>
      <c r="W61" s="175"/>
    </row>
    <row r="62" spans="1:30">
      <c r="A62" s="65">
        <v>1416</v>
      </c>
      <c r="B62" s="174">
        <v>-0.26</v>
      </c>
      <c r="C62" s="183">
        <v>0.87401574803149606</v>
      </c>
      <c r="D62" s="176">
        <v>273076923.07692307</v>
      </c>
      <c r="E62" s="26">
        <f>VLOOKUP(1416,季財報!$A:$H,8,0)</f>
        <v>0</v>
      </c>
      <c r="F62" s="183">
        <v>3.5478499999999999</v>
      </c>
      <c r="G62" s="176">
        <v>5106538461.5384617</v>
      </c>
      <c r="H62" s="176">
        <v>2285123000</v>
      </c>
      <c r="I62" s="174">
        <v>2.234688662946573</v>
      </c>
      <c r="J62" s="176">
        <v>0</v>
      </c>
      <c r="P62" s="175"/>
      <c r="Q62" s="175"/>
      <c r="R62" s="175"/>
      <c r="S62" s="175"/>
      <c r="T62" s="175"/>
      <c r="U62" s="175"/>
      <c r="V62" s="175"/>
      <c r="W62" s="175"/>
    </row>
    <row r="63" spans="1:30">
      <c r="A63" s="65">
        <v>1417</v>
      </c>
      <c r="B63" s="174">
        <v>-0.34</v>
      </c>
      <c r="C63" s="183">
        <v>1</v>
      </c>
      <c r="D63" s="176">
        <v>379411764.70588231</v>
      </c>
      <c r="E63" s="26">
        <f>VLOOKUP(1417,季財報!$A:$H,8,0)</f>
        <v>1</v>
      </c>
      <c r="F63" s="183">
        <v>1.3408333333333333E-2</v>
      </c>
      <c r="G63" s="176">
        <v>2037441176.470588</v>
      </c>
      <c r="H63" s="176">
        <v>3524278000</v>
      </c>
      <c r="I63" s="174">
        <v>0.5781159081294347</v>
      </c>
      <c r="J63" s="176">
        <v>0</v>
      </c>
      <c r="P63" s="175"/>
      <c r="Q63" s="175"/>
      <c r="R63" s="175"/>
      <c r="S63" s="175"/>
      <c r="T63" s="175"/>
      <c r="U63" s="175"/>
      <c r="V63" s="175"/>
      <c r="W63" s="175"/>
    </row>
    <row r="64" spans="1:30">
      <c r="A64" s="65">
        <v>1418</v>
      </c>
      <c r="B64" s="174">
        <v>-0.18</v>
      </c>
      <c r="C64" s="183">
        <v>1</v>
      </c>
      <c r="D64" s="176">
        <v>127777777.77777778</v>
      </c>
      <c r="E64" s="26">
        <f>VLOOKUP(1418,季財報!$A:$H,8,0)</f>
        <v>1</v>
      </c>
      <c r="F64" s="183">
        <v>7.746666666666667E-2</v>
      </c>
      <c r="G64" s="176">
        <v>626111111.11111116</v>
      </c>
      <c r="H64" s="176">
        <v>1424586000</v>
      </c>
      <c r="I64" s="174">
        <v>0.43950390577410642</v>
      </c>
      <c r="J64" s="176">
        <v>0</v>
      </c>
    </row>
    <row r="65" spans="1:10">
      <c r="A65" s="65">
        <v>1419</v>
      </c>
      <c r="B65" s="174">
        <v>0.6</v>
      </c>
      <c r="C65" s="183">
        <v>0</v>
      </c>
      <c r="D65" s="176">
        <v>298333333.33333337</v>
      </c>
      <c r="E65" s="26">
        <f>VLOOKUP(1419,季財報!$A:$H,8,0)</f>
        <v>2</v>
      </c>
      <c r="F65" s="183">
        <v>1.8908333333333333E-2</v>
      </c>
      <c r="G65" s="176">
        <v>10740000000.000002</v>
      </c>
      <c r="H65" s="176">
        <v>1128243000</v>
      </c>
      <c r="I65" s="174">
        <v>9.5192259114392925</v>
      </c>
      <c r="J65" s="176">
        <v>0</v>
      </c>
    </row>
    <row r="66" spans="1:10">
      <c r="A66" s="65">
        <v>1423</v>
      </c>
      <c r="B66" s="174">
        <v>-0.1</v>
      </c>
      <c r="C66" s="183">
        <v>0</v>
      </c>
      <c r="D66" s="176">
        <v>170000000</v>
      </c>
      <c r="E66" s="26">
        <f>VLOOKUP(1423,季財報!$A:$H,8,0)</f>
        <v>1</v>
      </c>
      <c r="F66" s="183">
        <v>4.3258333333333343E-2</v>
      </c>
      <c r="G66" s="176">
        <v>1215500000</v>
      </c>
      <c r="H66" s="176">
        <v>663585000</v>
      </c>
      <c r="I66" s="174">
        <v>1.8317171123518463</v>
      </c>
      <c r="J66" s="176">
        <v>0</v>
      </c>
    </row>
    <row r="67" spans="1:10">
      <c r="A67" s="65">
        <v>1432</v>
      </c>
      <c r="B67" s="174">
        <v>-0.02</v>
      </c>
      <c r="C67" s="183">
        <v>1</v>
      </c>
      <c r="D67" s="176">
        <v>150000000</v>
      </c>
      <c r="E67" s="26">
        <f>VLOOKUP(1432,季財報!$A:$H,8,0)</f>
        <v>2</v>
      </c>
      <c r="F67" s="183">
        <v>0.40399166666666669</v>
      </c>
      <c r="G67" s="176">
        <v>2932500000</v>
      </c>
      <c r="H67" s="176">
        <v>372042000</v>
      </c>
      <c r="I67" s="174">
        <v>7.8821745931910909</v>
      </c>
      <c r="J67" s="176">
        <v>0</v>
      </c>
    </row>
    <row r="68" spans="1:10">
      <c r="A68" s="65">
        <v>1434</v>
      </c>
      <c r="B68" s="174">
        <v>0.61</v>
      </c>
      <c r="C68" s="183">
        <v>0.71277842907385702</v>
      </c>
      <c r="D68" s="176">
        <v>1670491803.2786887</v>
      </c>
      <c r="E68" s="26">
        <f>VLOOKUP(1434,季財報!$A:$H,8,0)</f>
        <v>2</v>
      </c>
      <c r="F68" s="183">
        <v>-8.6583333333333321E-3</v>
      </c>
      <c r="G68" s="176">
        <v>51868770491.803284</v>
      </c>
      <c r="H68" s="176">
        <v>43637652000</v>
      </c>
      <c r="I68" s="174">
        <v>1.1886242296401117</v>
      </c>
      <c r="J68" s="176">
        <v>17.85324768119068</v>
      </c>
    </row>
    <row r="69" spans="1:10">
      <c r="A69" s="65">
        <v>1436</v>
      </c>
      <c r="B69" s="174">
        <v>-0.2</v>
      </c>
      <c r="C69" s="183">
        <v>0.69444444444444442</v>
      </c>
      <c r="D69" s="176">
        <v>70000000</v>
      </c>
      <c r="E69" s="26">
        <f>VLOOKUP(1436,季財報!$A:$H,8,0)</f>
        <v>2</v>
      </c>
      <c r="F69" s="183">
        <v>6.6126750000000003</v>
      </c>
      <c r="G69" s="176">
        <v>2877000000</v>
      </c>
      <c r="H69" s="176">
        <v>254478000</v>
      </c>
      <c r="I69" s="174">
        <v>10</v>
      </c>
      <c r="J69" s="176">
        <v>0</v>
      </c>
    </row>
    <row r="70" spans="1:10">
      <c r="A70" s="65">
        <v>1437</v>
      </c>
      <c r="B70" s="174">
        <v>0.11</v>
      </c>
      <c r="C70" s="183">
        <v>0.81578947368421051</v>
      </c>
      <c r="D70" s="176">
        <v>200000000</v>
      </c>
      <c r="E70" s="26">
        <f>VLOOKUP(1437,季財報!$A:$H,8,0)</f>
        <v>4</v>
      </c>
      <c r="F70" s="183">
        <v>-1.4199999999999999E-2</v>
      </c>
      <c r="G70" s="176">
        <v>2420000000</v>
      </c>
      <c r="H70" s="176">
        <v>817265000</v>
      </c>
      <c r="I70" s="174">
        <v>2.961095850183233</v>
      </c>
      <c r="J70" s="176">
        <v>33.70967741935484</v>
      </c>
    </row>
    <row r="71" spans="1:10">
      <c r="A71" s="65">
        <v>1438</v>
      </c>
      <c r="B71" s="174">
        <v>0.04</v>
      </c>
      <c r="C71" s="183">
        <v>1</v>
      </c>
      <c r="D71" s="176">
        <v>100000000</v>
      </c>
      <c r="E71" s="26">
        <f>VLOOKUP(1438,季財報!$A:$H,8,0)</f>
        <v>4</v>
      </c>
      <c r="F71" s="183">
        <v>287.38974999999999</v>
      </c>
      <c r="G71" s="176">
        <v>465000000.00000006</v>
      </c>
      <c r="H71" s="176">
        <v>35281000</v>
      </c>
      <c r="I71" s="174">
        <v>10</v>
      </c>
      <c r="J71" s="176">
        <v>29.0625</v>
      </c>
    </row>
    <row r="72" spans="1:10">
      <c r="A72" s="65">
        <v>1439</v>
      </c>
      <c r="B72" s="174">
        <v>0.01</v>
      </c>
      <c r="C72" s="183">
        <v>0</v>
      </c>
      <c r="D72" s="176">
        <v>0</v>
      </c>
      <c r="E72" s="26">
        <f>VLOOKUP(1439,季財報!$A:$H,8,0)</f>
        <v>0</v>
      </c>
      <c r="F72" s="183">
        <v>0.14474166666666666</v>
      </c>
      <c r="G72" s="176">
        <v>0</v>
      </c>
      <c r="H72" s="176">
        <v>388664000</v>
      </c>
      <c r="I72" s="174">
        <v>0</v>
      </c>
      <c r="J72" s="176">
        <v>0</v>
      </c>
    </row>
    <row r="73" spans="1:10">
      <c r="A73" s="65">
        <v>1440</v>
      </c>
      <c r="B73" s="174">
        <v>0.23</v>
      </c>
      <c r="C73" s="183">
        <v>0.45149253731343286</v>
      </c>
      <c r="D73" s="176">
        <v>1643478260.8695652</v>
      </c>
      <c r="E73" s="26">
        <f>VLOOKUP(1440,季財報!$A:$H,8,0)</f>
        <v>1</v>
      </c>
      <c r="F73" s="183">
        <v>-2.3083333333333363E-3</v>
      </c>
      <c r="G73" s="176">
        <v>23994782608.695652</v>
      </c>
      <c r="H73" s="176">
        <v>21880292000</v>
      </c>
      <c r="I73" s="174">
        <v>1.0966390489073752</v>
      </c>
      <c r="J73" s="176">
        <v>35.149119655048501</v>
      </c>
    </row>
    <row r="74" spans="1:10">
      <c r="A74" s="65">
        <v>1441</v>
      </c>
      <c r="B74" s="174">
        <v>-0.2</v>
      </c>
      <c r="C74" s="183">
        <v>0.73076923076923073</v>
      </c>
      <c r="D74" s="176">
        <v>90000000</v>
      </c>
      <c r="E74" s="26">
        <f>VLOOKUP(1441,季財報!$A:$H,8,0)</f>
        <v>2</v>
      </c>
      <c r="F74" s="183">
        <v>1.9241666666666667E-2</v>
      </c>
      <c r="G74" s="176">
        <v>653400000</v>
      </c>
      <c r="H74" s="176">
        <v>1922230000</v>
      </c>
      <c r="I74" s="174">
        <v>0.3399176997549721</v>
      </c>
      <c r="J74" s="176">
        <v>0</v>
      </c>
    </row>
    <row r="75" spans="1:10">
      <c r="A75" s="65">
        <v>1442</v>
      </c>
      <c r="B75" s="174">
        <v>0.43</v>
      </c>
      <c r="C75" s="183">
        <v>1</v>
      </c>
      <c r="D75" s="176">
        <v>225581395.34883723</v>
      </c>
      <c r="E75" s="26">
        <f>VLOOKUP(1442,季財報!$A:$H,8,0)</f>
        <v>0</v>
      </c>
      <c r="F75" s="183">
        <v>1.2920999999999998</v>
      </c>
      <c r="G75" s="176">
        <v>4049186046.5116282</v>
      </c>
      <c r="H75" s="176">
        <v>1984643000</v>
      </c>
      <c r="I75" s="174">
        <v>2.0402591531633791</v>
      </c>
      <c r="J75" s="176">
        <v>10.436046511627907</v>
      </c>
    </row>
    <row r="76" spans="1:10">
      <c r="A76" s="65">
        <v>1443</v>
      </c>
      <c r="B76" s="174">
        <v>0.27</v>
      </c>
      <c r="C76" s="183">
        <v>0</v>
      </c>
      <c r="D76" s="176">
        <v>133333333.33333333</v>
      </c>
      <c r="E76" s="26">
        <f>VLOOKUP(1443,季財報!$A:$H,8,0)</f>
        <v>1</v>
      </c>
      <c r="F76" s="183">
        <v>3.3000000000000065E-3</v>
      </c>
      <c r="G76" s="176">
        <v>633333333.33333325</v>
      </c>
      <c r="H76" s="176">
        <v>1308131000</v>
      </c>
      <c r="I76" s="174">
        <v>0.48415130696645309</v>
      </c>
      <c r="J76" s="176">
        <v>0</v>
      </c>
    </row>
    <row r="77" spans="1:10">
      <c r="A77" s="65">
        <v>1444</v>
      </c>
      <c r="B77" s="174">
        <v>0.14000000000000001</v>
      </c>
      <c r="C77" s="183">
        <v>0.14979757085020243</v>
      </c>
      <c r="D77" s="176">
        <v>971428571.42857134</v>
      </c>
      <c r="E77" s="26">
        <f>VLOOKUP(1444,季財報!$A:$H,8,0)</f>
        <v>2</v>
      </c>
      <c r="F77" s="183">
        <v>-9.4333333333333335E-3</v>
      </c>
      <c r="G77" s="176">
        <v>9014857142.8571415</v>
      </c>
      <c r="H77" s="176">
        <v>10646006000</v>
      </c>
      <c r="I77" s="174">
        <v>0.84678302293434193</v>
      </c>
      <c r="J77" s="176">
        <v>50</v>
      </c>
    </row>
    <row r="78" spans="1:10">
      <c r="A78" s="65">
        <v>1445</v>
      </c>
      <c r="B78" s="179">
        <v>0.22</v>
      </c>
      <c r="C78" s="183">
        <v>1</v>
      </c>
      <c r="D78" s="180">
        <v>136363636.36363637</v>
      </c>
      <c r="E78" s="26">
        <f>VLOOKUP(1445,季財報!$A:$H,8,0)</f>
        <v>2</v>
      </c>
      <c r="F78" s="183">
        <v>4.2416666666666679E-3</v>
      </c>
      <c r="G78" s="180">
        <v>1302272727.2727275</v>
      </c>
      <c r="H78" s="180">
        <v>1876148000</v>
      </c>
      <c r="I78" s="179">
        <v>0.69412046772041835</v>
      </c>
      <c r="J78" s="180">
        <v>10.852272727272728</v>
      </c>
    </row>
    <row r="79" spans="1:10">
      <c r="A79" s="65">
        <v>1446</v>
      </c>
      <c r="B79" s="174">
        <v>-0.01</v>
      </c>
      <c r="C79" s="183">
        <v>1</v>
      </c>
      <c r="D79" s="176">
        <v>100000000</v>
      </c>
      <c r="E79" s="26">
        <f>VLOOKUP(1446,季財報!$A:$H,8,0)</f>
        <v>4</v>
      </c>
      <c r="F79" s="183">
        <v>7.6516666666666663E-2</v>
      </c>
      <c r="G79" s="176">
        <v>2075000000</v>
      </c>
      <c r="H79" s="176">
        <v>844729000</v>
      </c>
      <c r="I79" s="174">
        <v>2.4564090968819587</v>
      </c>
      <c r="J79" s="176">
        <v>0</v>
      </c>
    </row>
    <row r="80" spans="1:10">
      <c r="A80" s="65">
        <v>1447</v>
      </c>
      <c r="B80" s="174">
        <v>7.0000000000000007E-2</v>
      </c>
      <c r="C80" s="183">
        <v>0</v>
      </c>
      <c r="D80" s="176">
        <v>814285714.28571415</v>
      </c>
      <c r="E80" s="26">
        <f>VLOOKUP(1447,季財報!$A:$H,8,0)</f>
        <v>1</v>
      </c>
      <c r="F80" s="183">
        <v>-4.333333333333334E-3</v>
      </c>
      <c r="G80" s="176">
        <v>7230857142.8571424</v>
      </c>
      <c r="H80" s="176">
        <v>17802499000</v>
      </c>
      <c r="I80" s="174">
        <v>0.40617090571706493</v>
      </c>
      <c r="J80" s="176">
        <v>0</v>
      </c>
    </row>
    <row r="81" spans="1:11">
      <c r="A81" s="65">
        <v>1449</v>
      </c>
      <c r="B81" s="174">
        <v>-0.55000000000000004</v>
      </c>
      <c r="C81" s="183">
        <v>1</v>
      </c>
      <c r="D81" s="176">
        <v>118181818.18181817</v>
      </c>
      <c r="E81" s="26">
        <f>VLOOKUP(1449,季財報!$A:$H,8,0)</f>
        <v>1</v>
      </c>
      <c r="F81" s="183">
        <v>3.5366666666666664E-2</v>
      </c>
      <c r="G81" s="176">
        <v>758727272.72727263</v>
      </c>
      <c r="H81" s="176">
        <v>3119608000</v>
      </c>
      <c r="I81" s="174">
        <v>0.24321237563414141</v>
      </c>
      <c r="J81" s="176">
        <v>0</v>
      </c>
    </row>
    <row r="82" spans="1:11">
      <c r="A82" s="65">
        <v>1451</v>
      </c>
      <c r="B82" s="174">
        <v>0.81</v>
      </c>
      <c r="C82" s="183">
        <v>0.67385444743935308</v>
      </c>
      <c r="D82" s="176">
        <v>401234567.90123457</v>
      </c>
      <c r="E82" s="26">
        <f>VLOOKUP(1451,季財報!$A:$H,8,0)</f>
        <v>3</v>
      </c>
      <c r="F82" s="183">
        <v>1.1399999999999995E-2</v>
      </c>
      <c r="G82" s="176">
        <v>8365740740.7407417</v>
      </c>
      <c r="H82" s="176">
        <v>12825707000</v>
      </c>
      <c r="I82" s="174">
        <v>0.65226351582339603</v>
      </c>
      <c r="J82" s="176">
        <v>9.5498148148148143</v>
      </c>
    </row>
    <row r="83" spans="1:11">
      <c r="A83" s="65">
        <v>1452</v>
      </c>
      <c r="B83" s="174">
        <v>0.69</v>
      </c>
      <c r="C83" s="183">
        <v>0.31578947368421051</v>
      </c>
      <c r="D83" s="176">
        <v>131884057.9710145</v>
      </c>
      <c r="E83" s="26">
        <f>VLOOKUP(1452,季財報!$A:$H,8,0)</f>
        <v>2</v>
      </c>
      <c r="F83" s="183">
        <v>-9.6583333333333365E-3</v>
      </c>
      <c r="G83" s="176">
        <v>3521304347.826087</v>
      </c>
      <c r="H83" s="176">
        <v>2067873000</v>
      </c>
      <c r="I83" s="174">
        <v>1.7028629649045599</v>
      </c>
      <c r="J83" s="176">
        <v>30.634057971014496</v>
      </c>
    </row>
    <row r="84" spans="1:11">
      <c r="A84" s="65">
        <v>1453</v>
      </c>
      <c r="B84" s="174">
        <v>-0.11</v>
      </c>
      <c r="C84" s="183">
        <v>0.95</v>
      </c>
      <c r="D84" s="176">
        <v>81818181.818181813</v>
      </c>
      <c r="E84" s="26">
        <f>VLOOKUP(1453,季財報!$A:$H,8,0)</f>
        <v>0</v>
      </c>
      <c r="F84" s="183">
        <v>1.6398666666666666</v>
      </c>
      <c r="G84" s="176">
        <v>690545454.5454545</v>
      </c>
      <c r="H84" s="176">
        <v>342654000</v>
      </c>
      <c r="I84" s="174">
        <v>2.0152849654329281</v>
      </c>
      <c r="J84" s="176">
        <v>0</v>
      </c>
    </row>
    <row r="85" spans="1:11">
      <c r="A85" s="65">
        <v>1454</v>
      </c>
      <c r="B85" s="174">
        <v>0.19</v>
      </c>
      <c r="C85" s="183">
        <v>0.69841269841269837</v>
      </c>
      <c r="D85" s="176">
        <v>131578947.36842105</v>
      </c>
      <c r="E85" s="26">
        <f>VLOOKUP(1454,季財報!$A:$H,8,0)</f>
        <v>1</v>
      </c>
      <c r="F85" s="183">
        <v>-5.6916666666666678E-3</v>
      </c>
      <c r="G85" s="176">
        <v>1257894736.8421054</v>
      </c>
      <c r="H85" s="176">
        <v>2106356000</v>
      </c>
      <c r="I85" s="174">
        <v>0.59718999867168954</v>
      </c>
      <c r="J85" s="176">
        <v>18.010765550239235</v>
      </c>
    </row>
    <row r="86" spans="1:11">
      <c r="A86" s="65">
        <v>1455</v>
      </c>
      <c r="B86" s="174">
        <v>-0.15</v>
      </c>
      <c r="C86" s="183">
        <v>0.10674157303370786</v>
      </c>
      <c r="D86" s="176">
        <v>613333333.33333337</v>
      </c>
      <c r="E86" s="26">
        <f>VLOOKUP(1455,季財報!$A:$H,8,0)</f>
        <v>0</v>
      </c>
      <c r="F86" s="183">
        <v>-1.61E-2</v>
      </c>
      <c r="G86" s="176">
        <v>5158133333.333334</v>
      </c>
      <c r="H86" s="176">
        <v>15802977000</v>
      </c>
      <c r="I86" s="174">
        <v>0.3264026349803163</v>
      </c>
      <c r="J86" s="176">
        <v>0</v>
      </c>
    </row>
    <row r="87" spans="1:11">
      <c r="A87" s="65">
        <v>1456</v>
      </c>
      <c r="B87" s="174">
        <v>-7.0000000000000007E-2</v>
      </c>
      <c r="C87" s="183">
        <v>0.19444444444444445</v>
      </c>
      <c r="D87" s="176">
        <v>214285714.28571427</v>
      </c>
      <c r="E87" s="26">
        <f>VLOOKUP(1456,季財報!$A:$H,8,0)</f>
        <v>3</v>
      </c>
      <c r="F87" s="183">
        <v>4.8383333333333341E-2</v>
      </c>
      <c r="G87" s="176">
        <v>880714285.71428573</v>
      </c>
      <c r="H87" s="176">
        <v>648371000</v>
      </c>
      <c r="I87" s="174">
        <v>1.358349287235681</v>
      </c>
      <c r="J87" s="176">
        <v>0</v>
      </c>
    </row>
    <row r="88" spans="1:11">
      <c r="A88" s="65">
        <v>1457</v>
      </c>
      <c r="B88" s="174">
        <v>0.13</v>
      </c>
      <c r="C88" s="183">
        <v>0</v>
      </c>
      <c r="D88" s="176">
        <v>269230769.23076922</v>
      </c>
      <c r="E88" s="26">
        <f>VLOOKUP(1457,季財報!$A:$H,8,0)</f>
        <v>2</v>
      </c>
      <c r="F88" s="183">
        <v>5.7858333333333338E-2</v>
      </c>
      <c r="G88" s="176">
        <v>3244230769.2307692</v>
      </c>
      <c r="H88" s="176">
        <v>4242788000</v>
      </c>
      <c r="I88" s="174">
        <v>0.76464597553089364</v>
      </c>
      <c r="J88" s="176">
        <v>0</v>
      </c>
    </row>
    <row r="89" spans="1:11">
      <c r="A89" s="65">
        <v>1459</v>
      </c>
      <c r="B89" s="174">
        <v>0.13</v>
      </c>
      <c r="C89" s="183">
        <v>0.28205128205128205</v>
      </c>
      <c r="D89" s="176">
        <v>300000000</v>
      </c>
      <c r="E89" s="26">
        <f>VLOOKUP(1459,季財報!$A:$H,8,0)</f>
        <v>1</v>
      </c>
      <c r="F89" s="183">
        <v>1.3175000000000001E-2</v>
      </c>
      <c r="G89" s="176">
        <v>3165000000</v>
      </c>
      <c r="H89" s="176">
        <v>4019231000</v>
      </c>
      <c r="I89" s="174">
        <v>0.78746406961928783</v>
      </c>
      <c r="J89" s="176">
        <v>50</v>
      </c>
    </row>
    <row r="90" spans="1:11">
      <c r="A90" s="65">
        <v>1460</v>
      </c>
      <c r="B90" s="174">
        <v>0.21</v>
      </c>
      <c r="C90" s="183">
        <v>0.97468354430379744</v>
      </c>
      <c r="D90" s="176">
        <v>433333333.33333337</v>
      </c>
      <c r="E90" s="26">
        <f>VLOOKUP(1460,季財報!$A:$H,8,0)</f>
        <v>3</v>
      </c>
      <c r="F90" s="183">
        <v>9.9083333333333298E-3</v>
      </c>
      <c r="G90" s="176">
        <v>6825000000.000001</v>
      </c>
      <c r="H90" s="176">
        <v>8345852000</v>
      </c>
      <c r="I90" s="174">
        <v>0.81777151092542755</v>
      </c>
      <c r="J90" s="176">
        <v>19.237012987012989</v>
      </c>
    </row>
    <row r="91" spans="1:11">
      <c r="A91" s="65">
        <v>1463</v>
      </c>
      <c r="B91" s="174">
        <v>0.15</v>
      </c>
      <c r="C91" s="183">
        <v>3.3333333333333333E-2</v>
      </c>
      <c r="D91" s="176">
        <v>160000000</v>
      </c>
      <c r="E91" s="26">
        <f>VLOOKUP(1463,季財報!$A:$H,8,0)</f>
        <v>2</v>
      </c>
      <c r="F91" s="183">
        <v>5.3158333333333342E-2</v>
      </c>
      <c r="G91" s="176">
        <v>2784000000</v>
      </c>
      <c r="H91" s="176">
        <v>554762000</v>
      </c>
      <c r="I91" s="174">
        <v>5.0183682371900025</v>
      </c>
      <c r="J91" s="176">
        <v>50</v>
      </c>
    </row>
    <row r="92" spans="1:11">
      <c r="A92" s="65">
        <v>1464</v>
      </c>
      <c r="B92" s="174">
        <v>0.39</v>
      </c>
      <c r="C92" s="183">
        <v>0.40625</v>
      </c>
      <c r="D92" s="176">
        <v>230769230.76923075</v>
      </c>
      <c r="E92" s="26">
        <f>VLOOKUP(1464,季財報!$A:$H,8,0)</f>
        <v>1</v>
      </c>
      <c r="F92" s="183">
        <v>2.8458333333333335E-2</v>
      </c>
      <c r="G92" s="176">
        <v>7523076923.0769224</v>
      </c>
      <c r="H92" s="176">
        <v>6877164000</v>
      </c>
      <c r="I92" s="174">
        <v>1.0939214075855865</v>
      </c>
      <c r="J92" s="176">
        <v>50</v>
      </c>
    </row>
    <row r="93" spans="1:11">
      <c r="A93" s="65">
        <v>1465</v>
      </c>
      <c r="B93" s="174">
        <v>0.5</v>
      </c>
      <c r="C93" s="183">
        <v>0.375</v>
      </c>
      <c r="D93" s="176">
        <v>102000000</v>
      </c>
      <c r="E93" s="26">
        <f>VLOOKUP(1465,季財報!$A:$H,8,0)</f>
        <v>3</v>
      </c>
      <c r="F93" s="183">
        <v>2.7666666666666673E-2</v>
      </c>
      <c r="G93" s="176">
        <v>1443300000</v>
      </c>
      <c r="H93" s="176">
        <v>2433203000</v>
      </c>
      <c r="I93" s="174">
        <v>0.5931687573950879</v>
      </c>
      <c r="J93" s="176">
        <v>18.866666666666667</v>
      </c>
    </row>
    <row r="94" spans="1:11">
      <c r="A94" s="65">
        <v>1466</v>
      </c>
      <c r="B94" s="174">
        <v>0.2</v>
      </c>
      <c r="C94" s="183">
        <v>0</v>
      </c>
      <c r="D94" s="176">
        <v>110000000</v>
      </c>
      <c r="E94" s="26">
        <f>VLOOKUP(1466,季財報!$A:$H,8,0)</f>
        <v>1</v>
      </c>
      <c r="F94" s="183">
        <v>-1.2325000000000003E-2</v>
      </c>
      <c r="G94" s="176">
        <v>1754500000</v>
      </c>
      <c r="H94" s="176">
        <v>4282755000</v>
      </c>
      <c r="I94" s="174">
        <v>0.40966620784985364</v>
      </c>
      <c r="J94" s="176">
        <v>0</v>
      </c>
    </row>
    <row r="95" spans="1:11">
      <c r="A95" s="65">
        <v>1467</v>
      </c>
      <c r="B95" s="174">
        <v>0.14000000000000001</v>
      </c>
      <c r="C95" s="183">
        <v>1</v>
      </c>
      <c r="D95" s="176">
        <v>207142857.14285713</v>
      </c>
      <c r="E95" s="26">
        <f>VLOOKUP(1467,季財報!$A:$H,8,0)</f>
        <v>1</v>
      </c>
      <c r="F95" s="183">
        <v>1.9475000000000003E-2</v>
      </c>
      <c r="G95" s="176">
        <v>2982857142.8571429</v>
      </c>
      <c r="H95" s="176">
        <v>7347097000</v>
      </c>
      <c r="I95" s="174">
        <v>0.40599125652718931</v>
      </c>
      <c r="J95" s="176">
        <v>25.714285714285712</v>
      </c>
      <c r="K95" s="32"/>
    </row>
    <row r="96" spans="1:11">
      <c r="A96" s="65">
        <v>1468</v>
      </c>
      <c r="B96" s="174">
        <v>-0.08</v>
      </c>
      <c r="C96" s="183">
        <v>1</v>
      </c>
      <c r="D96" s="176">
        <v>162500000</v>
      </c>
      <c r="E96" s="26">
        <f>VLOOKUP(1468,季財報!$A:$H,8,0)</f>
        <v>1</v>
      </c>
      <c r="F96" s="183">
        <v>3.6150000000000002E-2</v>
      </c>
      <c r="G96" s="176">
        <v>1499875000</v>
      </c>
      <c r="H96" s="176">
        <v>544702000</v>
      </c>
      <c r="I96" s="174">
        <v>2.753569841858484</v>
      </c>
      <c r="J96" s="176">
        <v>0</v>
      </c>
    </row>
    <row r="97" spans="1:10">
      <c r="A97" s="65">
        <v>1469</v>
      </c>
      <c r="B97" s="179">
        <v>-0.02</v>
      </c>
      <c r="C97" s="183">
        <v>1</v>
      </c>
      <c r="D97" s="180">
        <v>150000000</v>
      </c>
      <c r="E97" s="26">
        <f>VLOOKUP(1469,季財報!$A:$H,8,0)</f>
        <v>1</v>
      </c>
      <c r="F97" s="183">
        <v>9.7016666666666682E-2</v>
      </c>
      <c r="G97" s="180">
        <v>1860000000</v>
      </c>
      <c r="H97" s="180">
        <v>429315000</v>
      </c>
      <c r="I97" s="179">
        <v>4.3324831417490657</v>
      </c>
      <c r="J97" s="180">
        <v>0</v>
      </c>
    </row>
    <row r="98" spans="1:10">
      <c r="A98" s="65">
        <v>1470</v>
      </c>
      <c r="B98" s="174">
        <v>0.2</v>
      </c>
      <c r="C98" s="183">
        <v>0.7857142857142857</v>
      </c>
      <c r="D98" s="176">
        <v>85000000</v>
      </c>
      <c r="E98" s="26">
        <f>VLOOKUP(1470,季財報!$A:$H,8,0)</f>
        <v>2</v>
      </c>
      <c r="F98" s="183">
        <v>2.0375000000000001E-2</v>
      </c>
      <c r="G98" s="176">
        <v>1478999999.9999998</v>
      </c>
      <c r="H98" s="176">
        <v>769334000</v>
      </c>
      <c r="I98" s="174">
        <v>1.9224420082824882</v>
      </c>
      <c r="J98" s="176">
        <v>27.68181818181818</v>
      </c>
    </row>
    <row r="99" spans="1:10">
      <c r="A99" s="65">
        <v>1471</v>
      </c>
      <c r="B99" s="174">
        <v>-0.22</v>
      </c>
      <c r="C99" s="183">
        <v>1</v>
      </c>
      <c r="D99" s="176">
        <v>200000000</v>
      </c>
      <c r="E99" s="26">
        <f>VLOOKUP(1471,季財報!$A:$H,8,0)</f>
        <v>1</v>
      </c>
      <c r="F99" s="183">
        <v>-2.8608333333333329E-2</v>
      </c>
      <c r="G99" s="176">
        <v>898000000</v>
      </c>
      <c r="H99" s="176">
        <v>2050985000</v>
      </c>
      <c r="I99" s="174">
        <v>0.4378384044739479</v>
      </c>
      <c r="J99" s="176">
        <v>0</v>
      </c>
    </row>
    <row r="100" spans="1:10">
      <c r="A100" s="65">
        <v>1472</v>
      </c>
      <c r="B100" s="174">
        <v>-0.16</v>
      </c>
      <c r="C100" s="183">
        <v>1</v>
      </c>
      <c r="D100" s="176">
        <v>75000000</v>
      </c>
      <c r="E100" s="26">
        <f>VLOOKUP(1472,季財報!$A:$H,8,0)</f>
        <v>0</v>
      </c>
      <c r="F100" s="183">
        <v>-1.0325000000000001E-2</v>
      </c>
      <c r="G100" s="176">
        <v>1170000000</v>
      </c>
      <c r="H100" s="176">
        <v>758175000</v>
      </c>
      <c r="I100" s="174">
        <v>1.5431793451379958</v>
      </c>
      <c r="J100" s="176">
        <v>0</v>
      </c>
    </row>
    <row r="101" spans="1:10">
      <c r="A101" s="65">
        <v>1473</v>
      </c>
      <c r="B101" s="174">
        <v>0.36</v>
      </c>
      <c r="C101" s="183">
        <v>1</v>
      </c>
      <c r="D101" s="176">
        <v>147222222.22222224</v>
      </c>
      <c r="E101" s="26">
        <f>VLOOKUP(1473,季財報!$A:$H,8,0)</f>
        <v>4</v>
      </c>
      <c r="F101" s="183">
        <v>4.1058333333333336E-2</v>
      </c>
      <c r="G101" s="176">
        <v>3732083333.333334</v>
      </c>
      <c r="H101" s="176">
        <v>9432138000</v>
      </c>
      <c r="I101" s="174">
        <v>0.39567734625313306</v>
      </c>
      <c r="J101" s="176">
        <v>17.604166666666668</v>
      </c>
    </row>
    <row r="102" spans="1:10">
      <c r="A102" s="65">
        <v>1474</v>
      </c>
      <c r="B102" s="174">
        <v>0.28000000000000003</v>
      </c>
      <c r="C102" s="183">
        <v>0.92307692307692313</v>
      </c>
      <c r="D102" s="176">
        <v>128571428.57142855</v>
      </c>
      <c r="E102" s="26">
        <f>VLOOKUP(1474,季財報!$A:$H,8,0)</f>
        <v>3</v>
      </c>
      <c r="F102" s="183">
        <v>2.0558333333333335E-2</v>
      </c>
      <c r="G102" s="176">
        <v>1414285714.2857141</v>
      </c>
      <c r="H102" s="176">
        <v>3557418000</v>
      </c>
      <c r="I102" s="174">
        <v>0.39755961044940857</v>
      </c>
      <c r="J102" s="176">
        <v>10.639880952380951</v>
      </c>
    </row>
    <row r="103" spans="1:10">
      <c r="A103" s="65">
        <v>1475</v>
      </c>
      <c r="B103" s="174">
        <v>-0.16</v>
      </c>
      <c r="C103" s="183">
        <v>0.82608695652173914</v>
      </c>
      <c r="D103" s="176">
        <v>50000000</v>
      </c>
      <c r="E103" s="26">
        <f>VLOOKUP(1475,季財報!$A:$H,8,0)</f>
        <v>1</v>
      </c>
      <c r="F103" s="183">
        <v>2.3183333333333334E-2</v>
      </c>
      <c r="G103" s="176">
        <v>409500000</v>
      </c>
      <c r="H103" s="176">
        <v>227890000</v>
      </c>
      <c r="I103" s="174">
        <v>1.7969195664575015</v>
      </c>
      <c r="J103" s="176">
        <v>0</v>
      </c>
    </row>
    <row r="104" spans="1:10">
      <c r="A104" s="65">
        <v>1476</v>
      </c>
      <c r="B104" s="174">
        <v>4.93</v>
      </c>
      <c r="C104" s="183">
        <v>0.87845546292233434</v>
      </c>
      <c r="D104" s="176">
        <v>261054766.73427993</v>
      </c>
      <c r="E104" s="26">
        <f>VLOOKUP(1476,季財報!$A:$H,8,0)</f>
        <v>3</v>
      </c>
      <c r="F104" s="183">
        <v>3.9024999999999997E-2</v>
      </c>
      <c r="G104" s="176">
        <v>116430425963.48885</v>
      </c>
      <c r="H104" s="176">
        <v>24806372000</v>
      </c>
      <c r="I104" s="174">
        <v>4.6935692959651192</v>
      </c>
      <c r="J104" s="176">
        <v>25.745907236779448</v>
      </c>
    </row>
    <row r="105" spans="1:10">
      <c r="A105" s="65">
        <v>1477</v>
      </c>
      <c r="B105" s="174">
        <v>3.07</v>
      </c>
      <c r="C105" s="183">
        <v>0.95758718190386427</v>
      </c>
      <c r="D105" s="176">
        <v>204560260.58631924</v>
      </c>
      <c r="E105" s="26">
        <f>VLOOKUP(1477,季財報!$A:$H,8,0)</f>
        <v>4</v>
      </c>
      <c r="F105" s="183">
        <v>3.1958333333333332E-2</v>
      </c>
      <c r="G105" s="176">
        <v>44491856677.524437</v>
      </c>
      <c r="H105" s="176">
        <v>23054079000</v>
      </c>
      <c r="I105" s="174">
        <v>1.9298908743014387</v>
      </c>
      <c r="J105" s="176">
        <v>18.496202454538459</v>
      </c>
    </row>
    <row r="106" spans="1:10">
      <c r="A106" s="65">
        <v>1503</v>
      </c>
      <c r="B106" s="174">
        <v>0.59</v>
      </c>
      <c r="C106" s="183">
        <v>0.46057347670250898</v>
      </c>
      <c r="D106" s="176">
        <v>518644067.79661018</v>
      </c>
      <c r="E106" s="26">
        <f>VLOOKUP(1503,季財報!$A:$H,8,0)</f>
        <v>2</v>
      </c>
      <c r="F106" s="183">
        <v>1.4574999999999999E-2</v>
      </c>
      <c r="G106" s="176">
        <v>20745762711.864407</v>
      </c>
      <c r="H106" s="176">
        <v>20057289000</v>
      </c>
      <c r="I106" s="174">
        <v>1.034325362309154</v>
      </c>
      <c r="J106" s="176">
        <v>36.800105520015833</v>
      </c>
    </row>
    <row r="107" spans="1:10">
      <c r="A107" s="65">
        <v>1504</v>
      </c>
      <c r="B107" s="174">
        <v>0.48</v>
      </c>
      <c r="C107" s="183">
        <v>0.57677902621722843</v>
      </c>
      <c r="D107" s="176">
        <v>1991666666.6666667</v>
      </c>
      <c r="E107" s="26">
        <f>VLOOKUP(1504,季財報!$A:$H,8,0)</f>
        <v>2</v>
      </c>
      <c r="F107" s="183">
        <v>-8.916666666666668E-4</v>
      </c>
      <c r="G107" s="176">
        <v>53476250000.000008</v>
      </c>
      <c r="H107" s="176">
        <v>48747513000</v>
      </c>
      <c r="I107" s="174">
        <v>1.0970046820644985</v>
      </c>
      <c r="J107" s="176">
        <v>24.245637175324678</v>
      </c>
    </row>
    <row r="108" spans="1:10">
      <c r="A108" s="65">
        <v>1506</v>
      </c>
      <c r="B108" s="174">
        <v>0.18</v>
      </c>
      <c r="C108" s="183">
        <v>0.46153846153846156</v>
      </c>
      <c r="D108" s="176">
        <v>122222222.22222222</v>
      </c>
      <c r="E108" s="26">
        <f>VLOOKUP(1506,季財報!$A:$H,8,0)</f>
        <v>3</v>
      </c>
      <c r="F108" s="183">
        <v>-8.5666666666666651E-3</v>
      </c>
      <c r="G108" s="176">
        <v>1943333333.3333335</v>
      </c>
      <c r="H108" s="176">
        <v>1550230000</v>
      </c>
      <c r="I108" s="174">
        <v>1.2535774261453678</v>
      </c>
      <c r="J108" s="176">
        <v>47.847222222222221</v>
      </c>
    </row>
    <row r="109" spans="1:10">
      <c r="A109" s="65">
        <v>1507</v>
      </c>
      <c r="B109" s="174">
        <v>1.31</v>
      </c>
      <c r="C109" s="183">
        <v>0.89756592292089254</v>
      </c>
      <c r="D109" s="176">
        <v>409160305.34351146</v>
      </c>
      <c r="E109" s="26">
        <f>VLOOKUP(1507,季財報!$A:$H,8,0)</f>
        <v>2</v>
      </c>
      <c r="F109" s="183">
        <v>3.1666666666666882E-4</v>
      </c>
      <c r="G109" s="176">
        <v>21194503816.793892</v>
      </c>
      <c r="H109" s="176">
        <v>24235979000</v>
      </c>
      <c r="I109" s="174">
        <v>0.87450578401614776</v>
      </c>
      <c r="J109" s="176">
        <v>11.013671453831888</v>
      </c>
    </row>
    <row r="110" spans="1:10">
      <c r="A110" s="65">
        <v>1512</v>
      </c>
      <c r="B110" s="174">
        <v>-0.04</v>
      </c>
      <c r="C110" s="183">
        <v>1</v>
      </c>
      <c r="D110" s="176">
        <v>175000000</v>
      </c>
      <c r="E110" s="26">
        <f>VLOOKUP(1512,季財報!$A:$H,8,0)</f>
        <v>5</v>
      </c>
      <c r="F110" s="183">
        <v>6.5983333333333338E-2</v>
      </c>
      <c r="G110" s="176">
        <v>820750000.00000012</v>
      </c>
      <c r="H110" s="176">
        <v>3981773000</v>
      </c>
      <c r="I110" s="174">
        <v>0.20612676815077105</v>
      </c>
      <c r="J110" s="176">
        <v>0</v>
      </c>
    </row>
    <row r="111" spans="1:10">
      <c r="A111" s="65">
        <v>1513</v>
      </c>
      <c r="B111" s="174">
        <v>0.78</v>
      </c>
      <c r="C111" s="183">
        <v>0.72405660377358494</v>
      </c>
      <c r="D111" s="176">
        <v>407692307.69230765</v>
      </c>
      <c r="E111" s="26">
        <f>VLOOKUP(1513,季財報!$A:$H,8,0)</f>
        <v>2</v>
      </c>
      <c r="F111" s="183">
        <v>3.070833333333332E-2</v>
      </c>
      <c r="G111" s="176">
        <v>7155000000</v>
      </c>
      <c r="H111" s="176">
        <v>10540806000</v>
      </c>
      <c r="I111" s="174">
        <v>0.6787905972275744</v>
      </c>
      <c r="J111" s="176">
        <v>7.7687296416938105</v>
      </c>
    </row>
    <row r="112" spans="1:10">
      <c r="A112" s="65">
        <v>1514</v>
      </c>
      <c r="B112" s="174">
        <v>0.33</v>
      </c>
      <c r="C112" s="183">
        <v>0.375</v>
      </c>
      <c r="D112" s="176">
        <v>196969696.96969697</v>
      </c>
      <c r="E112" s="26">
        <f>VLOOKUP(1514,季財報!$A:$H,8,0)</f>
        <v>3</v>
      </c>
      <c r="F112" s="183">
        <v>8.6958333333333346E-2</v>
      </c>
      <c r="G112" s="176">
        <v>1674242424.2424242</v>
      </c>
      <c r="H112" s="176">
        <v>3842529000</v>
      </c>
      <c r="I112" s="174">
        <v>0.43571367301129654</v>
      </c>
      <c r="J112" s="176">
        <v>17.171717171717173</v>
      </c>
    </row>
    <row r="113" spans="1:10">
      <c r="A113" s="65">
        <v>1515</v>
      </c>
      <c r="B113" s="174">
        <v>0.66</v>
      </c>
      <c r="C113" s="183">
        <v>0.76851851851851849</v>
      </c>
      <c r="D113" s="176">
        <v>180303030.30303028</v>
      </c>
      <c r="E113" s="26">
        <f>VLOOKUP(1515,季財報!$A:$H,8,0)</f>
        <v>5</v>
      </c>
      <c r="F113" s="183">
        <v>6.5416666666666722E-3</v>
      </c>
      <c r="G113" s="176">
        <v>2010378787.8787878</v>
      </c>
      <c r="H113" s="176">
        <v>3622951000</v>
      </c>
      <c r="I113" s="174">
        <v>0.55490090478143028</v>
      </c>
      <c r="J113" s="176">
        <v>5.4956188389923328</v>
      </c>
    </row>
    <row r="114" spans="1:10">
      <c r="A114" s="65">
        <v>1516</v>
      </c>
      <c r="B114" s="174">
        <v>-0.08</v>
      </c>
      <c r="C114" s="183">
        <v>0</v>
      </c>
      <c r="D114" s="176">
        <v>25000000</v>
      </c>
      <c r="E114" s="26">
        <f>VLOOKUP(1516,季財報!$A:$H,8,0)</f>
        <v>2</v>
      </c>
      <c r="F114" s="183">
        <v>0.86485000000000012</v>
      </c>
      <c r="G114" s="176">
        <v>512500000</v>
      </c>
      <c r="H114" s="176">
        <v>229834000</v>
      </c>
      <c r="I114" s="174">
        <v>2.2298702541834543</v>
      </c>
      <c r="J114" s="176">
        <v>0</v>
      </c>
    </row>
    <row r="115" spans="1:10">
      <c r="A115" s="65">
        <v>1517</v>
      </c>
      <c r="B115" s="174">
        <v>0.28000000000000003</v>
      </c>
      <c r="C115" s="183">
        <v>6.7226890756302518E-2</v>
      </c>
      <c r="D115" s="176">
        <v>228571428.57142854</v>
      </c>
      <c r="E115" s="26">
        <f>VLOOKUP(1517,季財報!$A:$H,8,0)</f>
        <v>2</v>
      </c>
      <c r="F115" s="183">
        <v>1.0666666666666585E-3</v>
      </c>
      <c r="G115" s="176">
        <v>2777142857.1428566</v>
      </c>
      <c r="H115" s="176">
        <v>3592634000</v>
      </c>
      <c r="I115" s="174">
        <v>0.77301023626198961</v>
      </c>
      <c r="J115" s="176">
        <v>50</v>
      </c>
    </row>
    <row r="116" spans="1:10">
      <c r="A116" s="65">
        <v>1519</v>
      </c>
      <c r="B116" s="174">
        <v>0.16</v>
      </c>
      <c r="C116" s="183">
        <v>0.96078431372549022</v>
      </c>
      <c r="D116" s="176">
        <v>256250000</v>
      </c>
      <c r="E116" s="26">
        <f>VLOOKUP(1519,季財報!$A:$H,8,0)</f>
        <v>0</v>
      </c>
      <c r="F116" s="183">
        <v>0.11498333333333333</v>
      </c>
      <c r="G116" s="176">
        <v>3959062500</v>
      </c>
      <c r="H116" s="176">
        <v>5527117000</v>
      </c>
      <c r="I116" s="174">
        <v>0.71629793615731308</v>
      </c>
      <c r="J116" s="176">
        <v>25.125956632653057</v>
      </c>
    </row>
    <row r="117" spans="1:10">
      <c r="A117" s="65">
        <v>1521</v>
      </c>
      <c r="B117" s="174">
        <v>1.43</v>
      </c>
      <c r="C117" s="183">
        <v>0.78217821782178221</v>
      </c>
      <c r="D117" s="176">
        <v>76223776.223776221</v>
      </c>
      <c r="E117" s="26">
        <f>VLOOKUP(1521,季財報!$A:$H,8,0)</f>
        <v>2</v>
      </c>
      <c r="F117" s="183">
        <v>1.7358333333333326E-2</v>
      </c>
      <c r="G117" s="176">
        <v>6341818181.818182</v>
      </c>
      <c r="H117" s="176">
        <v>5652705000</v>
      </c>
      <c r="I117" s="174">
        <v>1.1219085697587583</v>
      </c>
      <c r="J117" s="176">
        <v>18.596087456846952</v>
      </c>
    </row>
    <row r="118" spans="1:10">
      <c r="A118" s="65">
        <v>1522</v>
      </c>
      <c r="B118" s="174">
        <v>0.91</v>
      </c>
      <c r="C118" s="183">
        <v>0.45591939546599497</v>
      </c>
      <c r="D118" s="176">
        <v>312087912.08791208</v>
      </c>
      <c r="E118" s="26">
        <f>VLOOKUP(1522,季財報!$A:$H,8,0)</f>
        <v>3</v>
      </c>
      <c r="F118" s="183">
        <v>-1.1616666666666669E-2</v>
      </c>
      <c r="G118" s="176">
        <v>7521318681.3186817</v>
      </c>
      <c r="H118" s="176">
        <v>15855048000</v>
      </c>
      <c r="I118" s="174">
        <v>0.47438006377014325</v>
      </c>
      <c r="J118" s="176">
        <v>14.522038734745918</v>
      </c>
    </row>
    <row r="119" spans="1:10">
      <c r="A119" s="65">
        <v>1524</v>
      </c>
      <c r="B119" s="174">
        <v>0.2</v>
      </c>
      <c r="C119" s="183">
        <v>0</v>
      </c>
      <c r="D119" s="176">
        <v>180000000</v>
      </c>
      <c r="E119" s="26">
        <f>VLOOKUP(1524,季財報!$A:$H,8,0)</f>
        <v>5</v>
      </c>
      <c r="F119" s="183">
        <v>7.7833333333333322E-3</v>
      </c>
      <c r="G119" s="176">
        <v>1218600000</v>
      </c>
      <c r="H119" s="176">
        <v>2482436000</v>
      </c>
      <c r="I119" s="174">
        <v>0.49088878827087584</v>
      </c>
      <c r="J119" s="176">
        <v>0</v>
      </c>
    </row>
    <row r="120" spans="1:10">
      <c r="A120" s="65">
        <v>1525</v>
      </c>
      <c r="B120" s="174">
        <v>1.36</v>
      </c>
      <c r="C120" s="183">
        <v>0</v>
      </c>
      <c r="D120" s="176">
        <v>69852941.176470578</v>
      </c>
      <c r="E120" s="26">
        <f>VLOOKUP(1525,季財報!$A:$H,8,0)</f>
        <v>1</v>
      </c>
      <c r="F120" s="183">
        <v>2.8858333333333337E-2</v>
      </c>
      <c r="G120" s="176">
        <v>6063235294.1176462</v>
      </c>
      <c r="H120" s="176">
        <v>1238141000</v>
      </c>
      <c r="I120" s="174">
        <v>4.8970475043776487</v>
      </c>
      <c r="J120" s="176">
        <v>0</v>
      </c>
    </row>
    <row r="121" spans="1:10">
      <c r="A121" s="65">
        <v>1526</v>
      </c>
      <c r="B121" s="174">
        <v>0.97</v>
      </c>
      <c r="C121" s="183">
        <v>0.52238805970149249</v>
      </c>
      <c r="D121" s="176">
        <v>49484536.082474232</v>
      </c>
      <c r="E121" s="26">
        <f>VLOOKUP(1526,季財報!$A:$H,8,0)</f>
        <v>3</v>
      </c>
      <c r="F121" s="183">
        <v>4.4850000000000001E-2</v>
      </c>
      <c r="G121" s="176">
        <v>737319587.62886608</v>
      </c>
      <c r="H121" s="176">
        <v>904518000</v>
      </c>
      <c r="I121" s="174">
        <v>0.8151519235978345</v>
      </c>
      <c r="J121" s="176">
        <v>7.3512518409425631</v>
      </c>
    </row>
    <row r="122" spans="1:10">
      <c r="A122" s="65">
        <v>1527</v>
      </c>
      <c r="B122" s="174">
        <v>4.43</v>
      </c>
      <c r="C122" s="183">
        <v>0.20089285714285715</v>
      </c>
      <c r="D122" s="176">
        <v>145372460.49661401</v>
      </c>
      <c r="E122" s="26">
        <f>VLOOKUP(1527,季財報!$A:$H,8,0)</f>
        <v>3</v>
      </c>
      <c r="F122" s="183">
        <v>3.6274999999999995E-2</v>
      </c>
      <c r="G122" s="176">
        <v>9769029345.3724613</v>
      </c>
      <c r="H122" s="176">
        <v>3358959000</v>
      </c>
      <c r="I122" s="174">
        <v>2.9083502791705591</v>
      </c>
      <c r="J122" s="176">
        <v>18.877351392024078</v>
      </c>
    </row>
    <row r="123" spans="1:10">
      <c r="A123" s="65">
        <v>1528</v>
      </c>
      <c r="B123" s="174">
        <v>0.01</v>
      </c>
      <c r="C123" s="183">
        <v>0</v>
      </c>
      <c r="D123" s="176">
        <v>100000000</v>
      </c>
      <c r="E123" s="26">
        <f>VLOOKUP(1528,季財報!$A:$H,8,0)</f>
        <v>1</v>
      </c>
      <c r="F123" s="183">
        <v>4.0325000000000007E-2</v>
      </c>
      <c r="G123" s="176">
        <v>932000000</v>
      </c>
      <c r="H123" s="176">
        <v>3167340000</v>
      </c>
      <c r="I123" s="174">
        <v>0.29425322194649139</v>
      </c>
      <c r="J123" s="176">
        <v>0</v>
      </c>
    </row>
    <row r="124" spans="1:10">
      <c r="A124" s="65">
        <v>1529</v>
      </c>
      <c r="B124" s="174">
        <v>-0.05</v>
      </c>
      <c r="C124" s="183">
        <v>0.26190476190476192</v>
      </c>
      <c r="D124" s="176">
        <v>300000000</v>
      </c>
      <c r="E124" s="26">
        <f>VLOOKUP(1529,季財報!$A:$H,8,0)</f>
        <v>0</v>
      </c>
      <c r="F124" s="183">
        <v>3.0213916666666667</v>
      </c>
      <c r="G124" s="176">
        <v>1650000000</v>
      </c>
      <c r="H124" s="176">
        <v>147818000</v>
      </c>
      <c r="I124" s="174">
        <v>10</v>
      </c>
      <c r="J124" s="176">
        <v>0</v>
      </c>
    </row>
    <row r="125" spans="1:10">
      <c r="A125" s="65">
        <v>1530</v>
      </c>
      <c r="B125" s="174">
        <v>1.75</v>
      </c>
      <c r="C125" s="183">
        <v>0.56804733727810652</v>
      </c>
      <c r="D125" s="176">
        <v>92000000</v>
      </c>
      <c r="E125" s="26">
        <f>VLOOKUP(1530,季財報!$A:$H,8,0)</f>
        <v>2</v>
      </c>
      <c r="F125" s="183">
        <v>3.9383333333333333E-2</v>
      </c>
      <c r="G125" s="176">
        <v>3187800000</v>
      </c>
      <c r="H125" s="176">
        <v>3928844000</v>
      </c>
      <c r="I125" s="174">
        <v>0.81138370472332322</v>
      </c>
      <c r="J125" s="176">
        <v>8.7140625000000007</v>
      </c>
    </row>
    <row r="126" spans="1:10">
      <c r="A126" s="65">
        <v>1531</v>
      </c>
      <c r="B126" s="174">
        <v>0.35</v>
      </c>
      <c r="C126" s="183">
        <v>0.17592592592592593</v>
      </c>
      <c r="D126" s="176">
        <v>182857142.85714287</v>
      </c>
      <c r="E126" s="26">
        <f>VLOOKUP(1531,季財報!$A:$H,8,0)</f>
        <v>3</v>
      </c>
      <c r="F126" s="183">
        <v>7.2500000000000374E-4</v>
      </c>
      <c r="G126" s="176">
        <v>3072000000.0000005</v>
      </c>
      <c r="H126" s="176">
        <v>2605522000</v>
      </c>
      <c r="I126" s="174">
        <v>1.1790343739181632</v>
      </c>
      <c r="J126" s="176">
        <v>50</v>
      </c>
    </row>
    <row r="127" spans="1:10">
      <c r="A127" s="65">
        <v>1532</v>
      </c>
      <c r="B127" s="174">
        <v>0.87</v>
      </c>
      <c r="C127" s="183">
        <v>1</v>
      </c>
      <c r="D127" s="176">
        <v>393103448.2758621</v>
      </c>
      <c r="E127" s="26">
        <f>VLOOKUP(1532,季財報!$A:$H,8,0)</f>
        <v>4</v>
      </c>
      <c r="F127" s="183">
        <v>0.13217500000000001</v>
      </c>
      <c r="G127" s="176">
        <v>10653103448.275864</v>
      </c>
      <c r="H127" s="176">
        <v>18811503000</v>
      </c>
      <c r="I127" s="174">
        <v>0.56630793660006129</v>
      </c>
      <c r="J127" s="176">
        <v>7.7873563218390807</v>
      </c>
    </row>
    <row r="128" spans="1:10">
      <c r="A128" s="65">
        <v>1533</v>
      </c>
      <c r="B128" s="174">
        <v>0.79</v>
      </c>
      <c r="C128" s="183">
        <v>0.50495049504950495</v>
      </c>
      <c r="D128" s="176">
        <v>94936708.860759497</v>
      </c>
      <c r="E128" s="26">
        <f>VLOOKUP(1533,季財報!$A:$H,8,0)</f>
        <v>3</v>
      </c>
      <c r="F128" s="183">
        <v>5.7166666666666694E-3</v>
      </c>
      <c r="G128" s="176">
        <v>4281645569.6202536</v>
      </c>
      <c r="H128" s="176">
        <v>2480711000</v>
      </c>
      <c r="I128" s="174">
        <v>1.725975161806536</v>
      </c>
      <c r="J128" s="176">
        <v>28.264457681806899</v>
      </c>
    </row>
    <row r="129" spans="1:11">
      <c r="A129" s="65">
        <v>1535</v>
      </c>
      <c r="B129" s="174">
        <v>1.01</v>
      </c>
      <c r="C129" s="183">
        <v>0.46558704453441296</v>
      </c>
      <c r="D129" s="176">
        <v>123762376.23762377</v>
      </c>
      <c r="E129" s="26">
        <f>VLOOKUP(1535,季財報!$A:$H,8,0)</f>
        <v>1</v>
      </c>
      <c r="F129" s="183">
        <v>5.2549999999999993E-2</v>
      </c>
      <c r="G129" s="176">
        <v>7363861386.1386137</v>
      </c>
      <c r="H129" s="176">
        <v>10228193000</v>
      </c>
      <c r="I129" s="174">
        <v>0.71995721884976294</v>
      </c>
      <c r="J129" s="176">
        <v>31.632587171760651</v>
      </c>
    </row>
    <row r="130" spans="1:11">
      <c r="A130" s="65">
        <v>1536</v>
      </c>
      <c r="B130" s="174">
        <v>1.49</v>
      </c>
      <c r="C130" s="183">
        <v>0.84470989761092152</v>
      </c>
      <c r="D130" s="176">
        <v>233557046.97986576</v>
      </c>
      <c r="E130" s="26">
        <f>VLOOKUP(1536,季財報!$A:$H,8,0)</f>
        <v>4</v>
      </c>
      <c r="F130" s="183">
        <v>2.9516666666666667E-2</v>
      </c>
      <c r="G130" s="176">
        <v>29895302013.422817</v>
      </c>
      <c r="H130" s="176">
        <v>5083667000</v>
      </c>
      <c r="I130" s="174">
        <v>5.8806570165635978</v>
      </c>
      <c r="J130" s="176">
        <v>25.424716968341126</v>
      </c>
    </row>
    <row r="131" spans="1:11">
      <c r="A131" s="65">
        <v>1537</v>
      </c>
      <c r="B131" s="174">
        <v>3.08</v>
      </c>
      <c r="C131" s="183">
        <v>0.82926829268292679</v>
      </c>
      <c r="D131" s="176">
        <v>81493506.493506491</v>
      </c>
      <c r="E131" s="26">
        <f>VLOOKUP(1537,季財報!$A:$H,8,0)</f>
        <v>4</v>
      </c>
      <c r="F131" s="183">
        <v>2.5666666666666654E-3</v>
      </c>
      <c r="G131" s="176">
        <v>10268181818.181818</v>
      </c>
      <c r="H131" s="176">
        <v>6982167000</v>
      </c>
      <c r="I131" s="174">
        <v>1.4706296509639225</v>
      </c>
      <c r="J131" s="176">
        <v>12.332887700534759</v>
      </c>
      <c r="K131" s="32"/>
    </row>
    <row r="132" spans="1:11">
      <c r="A132" s="65">
        <v>1538</v>
      </c>
      <c r="B132" s="174">
        <v>1.77</v>
      </c>
      <c r="C132" s="183">
        <v>0</v>
      </c>
      <c r="D132" s="176">
        <v>83050847.457627118</v>
      </c>
      <c r="E132" s="26">
        <f>VLOOKUP(1538,季財報!$A:$H,8,0)</f>
        <v>2</v>
      </c>
      <c r="F132" s="183">
        <v>2.0125000000000004E-2</v>
      </c>
      <c r="G132" s="176">
        <v>440169491.52542371</v>
      </c>
      <c r="H132" s="176">
        <v>783786000</v>
      </c>
      <c r="I132" s="174">
        <v>0.5615939701977628</v>
      </c>
      <c r="J132" s="176">
        <v>0</v>
      </c>
    </row>
    <row r="133" spans="1:11">
      <c r="A133" s="65">
        <v>1539</v>
      </c>
      <c r="B133" s="174">
        <v>1.88</v>
      </c>
      <c r="C133" s="183">
        <v>0.65384615384615385</v>
      </c>
      <c r="D133" s="176">
        <v>65425531.91489362</v>
      </c>
      <c r="E133" s="26">
        <f>VLOOKUP(1539,季財報!$A:$H,8,0)</f>
        <v>4</v>
      </c>
      <c r="F133" s="183">
        <v>5.213333333333333E-2</v>
      </c>
      <c r="G133" s="176">
        <v>2283351063.8297873</v>
      </c>
      <c r="H133" s="176">
        <v>2754984000</v>
      </c>
      <c r="I133" s="174">
        <v>0.82880737740392951</v>
      </c>
      <c r="J133" s="176">
        <v>7.0979349186483107</v>
      </c>
    </row>
    <row r="134" spans="1:11">
      <c r="A134" s="65">
        <v>1540</v>
      </c>
      <c r="B134" s="179">
        <v>0.44</v>
      </c>
      <c r="C134" s="183">
        <v>0.27906976744186046</v>
      </c>
      <c r="D134" s="180">
        <v>79545454.545454547</v>
      </c>
      <c r="E134" s="26">
        <f>VLOOKUP(1540,季財報!$A:$H,8,0)</f>
        <v>1</v>
      </c>
      <c r="F134" s="183">
        <v>-7.0083333333333331E-2</v>
      </c>
      <c r="G134" s="180">
        <v>1336363636.3636365</v>
      </c>
      <c r="H134" s="180">
        <v>970638000</v>
      </c>
      <c r="I134" s="179">
        <v>1.3767889124098134</v>
      </c>
      <c r="J134" s="180">
        <v>34.204545454545453</v>
      </c>
    </row>
    <row r="135" spans="1:11">
      <c r="A135" s="65">
        <v>1541</v>
      </c>
      <c r="B135" s="174">
        <v>1.91</v>
      </c>
      <c r="C135" s="183">
        <v>0.64210526315789473</v>
      </c>
      <c r="D135" s="176">
        <v>78534031.413612574</v>
      </c>
      <c r="E135" s="26">
        <f>VLOOKUP(1541,季財報!$A:$H,8,0)</f>
        <v>4</v>
      </c>
      <c r="F135" s="183">
        <v>3.5066666666666663E-2</v>
      </c>
      <c r="G135" s="176">
        <v>4162303664.9214664</v>
      </c>
      <c r="H135" s="176">
        <v>2920161000</v>
      </c>
      <c r="I135" s="174">
        <v>1.425367870100815</v>
      </c>
      <c r="J135" s="176">
        <v>10.803793665779763</v>
      </c>
    </row>
    <row r="136" spans="1:11">
      <c r="A136" s="65">
        <v>1558</v>
      </c>
      <c r="B136" s="174">
        <v>6.15</v>
      </c>
      <c r="C136" s="183">
        <v>0.70265486725663717</v>
      </c>
      <c r="D136" s="176">
        <v>60487804.878048778</v>
      </c>
      <c r="E136" s="26">
        <f>VLOOKUP(1558,季財報!$A:$H,8,0)</f>
        <v>4</v>
      </c>
      <c r="F136" s="183">
        <v>1.3033333333333329E-2</v>
      </c>
      <c r="G136" s="176">
        <v>8770731707.3170719</v>
      </c>
      <c r="H136" s="176">
        <v>6181173000</v>
      </c>
      <c r="I136" s="174">
        <v>1.4189429267417482</v>
      </c>
      <c r="J136" s="176">
        <v>8.3886260776965447</v>
      </c>
    </row>
    <row r="137" spans="1:11">
      <c r="A137" s="65">
        <v>1560</v>
      </c>
      <c r="B137" s="174">
        <v>1.1000000000000001</v>
      </c>
      <c r="C137" s="183">
        <v>0.93354430379746833</v>
      </c>
      <c r="D137" s="176">
        <v>141818181.81818181</v>
      </c>
      <c r="E137" s="26">
        <f>VLOOKUP(1560,季財報!$A:$H,8,0)</f>
        <v>4</v>
      </c>
      <c r="F137" s="183">
        <v>-7.7500000000000034E-3</v>
      </c>
      <c r="G137" s="176">
        <v>7800000000</v>
      </c>
      <c r="H137" s="176">
        <v>4109799000</v>
      </c>
      <c r="I137" s="174">
        <v>1.897903036133884</v>
      </c>
      <c r="J137" s="176">
        <v>13.389830508474574</v>
      </c>
    </row>
    <row r="138" spans="1:11">
      <c r="A138" s="65">
        <v>1565</v>
      </c>
      <c r="B138" s="174">
        <v>9.35</v>
      </c>
      <c r="C138" s="183">
        <v>0.81027667984189722</v>
      </c>
      <c r="D138" s="176">
        <v>50374331.550802141</v>
      </c>
      <c r="E138" s="26">
        <f>VLOOKUP(1565,季財報!$A:$H,8,0)</f>
        <v>5</v>
      </c>
      <c r="F138" s="183">
        <v>1.9774999999999997E-2</v>
      </c>
      <c r="G138" s="176">
        <v>30929839572.192516</v>
      </c>
      <c r="H138" s="176">
        <v>5676382000</v>
      </c>
      <c r="I138" s="174">
        <v>5.4488650644358527</v>
      </c>
      <c r="J138" s="176">
        <v>20.261119081779054</v>
      </c>
    </row>
    <row r="139" spans="1:11">
      <c r="A139" s="65">
        <v>1566</v>
      </c>
      <c r="B139" s="174">
        <v>0.42</v>
      </c>
      <c r="C139" s="183">
        <v>8.3333333333333329E-2</v>
      </c>
      <c r="D139" s="176">
        <v>66666666.666666672</v>
      </c>
      <c r="E139" s="26">
        <f>VLOOKUP(1566,季財報!$A:$H,8,0)</f>
        <v>3</v>
      </c>
      <c r="F139" s="183">
        <v>0.16057500000000002</v>
      </c>
      <c r="G139" s="176">
        <v>1580000000</v>
      </c>
      <c r="H139" s="176">
        <v>3837942000</v>
      </c>
      <c r="I139" s="174">
        <v>0.41167896752999394</v>
      </c>
      <c r="J139" s="176">
        <v>50</v>
      </c>
    </row>
    <row r="140" spans="1:11">
      <c r="A140" s="65">
        <v>1568</v>
      </c>
      <c r="B140" s="174">
        <v>0.48</v>
      </c>
      <c r="C140" s="183">
        <v>0.78749999999999998</v>
      </c>
      <c r="D140" s="176">
        <v>104166666.66666667</v>
      </c>
      <c r="E140" s="26">
        <f>VLOOKUP(1568,季財報!$A:$H,8,0)</f>
        <v>3</v>
      </c>
      <c r="F140" s="183">
        <v>1.6941666666666664E-2</v>
      </c>
      <c r="G140" s="176">
        <v>2125000000</v>
      </c>
      <c r="H140" s="176">
        <v>2357294000</v>
      </c>
      <c r="I140" s="174">
        <v>0.90145734897725949</v>
      </c>
      <c r="J140" s="176">
        <v>13.49206349206349</v>
      </c>
    </row>
    <row r="141" spans="1:11">
      <c r="A141" s="65">
        <v>1569</v>
      </c>
      <c r="B141" s="174">
        <v>-1.01</v>
      </c>
      <c r="C141" s="183">
        <v>0.83805668016194335</v>
      </c>
      <c r="D141" s="176">
        <v>94059405.940594062</v>
      </c>
      <c r="E141" s="26">
        <f>VLOOKUP(1569,季財報!$A:$H,8,0)</f>
        <v>1</v>
      </c>
      <c r="F141" s="183">
        <v>2.4891666666666663E-2</v>
      </c>
      <c r="G141" s="176">
        <v>973514851.48514855</v>
      </c>
      <c r="H141" s="176">
        <v>2409299000</v>
      </c>
      <c r="I141" s="174">
        <v>0.40406560227068061</v>
      </c>
      <c r="J141" s="176">
        <v>0</v>
      </c>
    </row>
    <row r="142" spans="1:11">
      <c r="A142" s="65">
        <v>1570</v>
      </c>
      <c r="B142" s="174">
        <v>0.8</v>
      </c>
      <c r="C142" s="183">
        <v>0.78688524590163933</v>
      </c>
      <c r="D142" s="176">
        <v>51250000</v>
      </c>
      <c r="E142" s="26">
        <f>VLOOKUP(1570,季財報!$A:$H,8,0)</f>
        <v>5</v>
      </c>
      <c r="F142" s="183">
        <v>0.11745833333333333</v>
      </c>
      <c r="G142" s="176">
        <v>984000000</v>
      </c>
      <c r="H142" s="176">
        <v>705802000</v>
      </c>
      <c r="I142" s="174">
        <v>1.3941587017322139</v>
      </c>
      <c r="J142" s="176">
        <v>7.6249999999999991</v>
      </c>
    </row>
    <row r="143" spans="1:11">
      <c r="A143" s="65">
        <v>1580</v>
      </c>
      <c r="B143" s="174">
        <v>2.78</v>
      </c>
      <c r="C143" s="183">
        <v>1</v>
      </c>
      <c r="D143" s="176">
        <v>48561151.079136692</v>
      </c>
      <c r="E143" s="26">
        <f>VLOOKUP(1580,季財報!$A:$H,8,0)</f>
        <v>1</v>
      </c>
      <c r="F143" s="183">
        <v>6.5008333333333307E-2</v>
      </c>
      <c r="G143" s="176">
        <v>5584532374.1007195</v>
      </c>
      <c r="H143" s="176">
        <v>4137076000</v>
      </c>
      <c r="I143" s="174">
        <v>1.3498742527574352</v>
      </c>
      <c r="J143" s="176">
        <v>10.341726618705037</v>
      </c>
    </row>
    <row r="144" spans="1:11">
      <c r="A144" s="65">
        <v>1582</v>
      </c>
      <c r="B144" s="174">
        <v>1.84</v>
      </c>
      <c r="C144" s="183">
        <v>0.80888888888888888</v>
      </c>
      <c r="D144" s="176">
        <v>150000000</v>
      </c>
      <c r="E144" s="26">
        <f>VLOOKUP(1582,季財報!$A:$H,8,0)</f>
        <v>3</v>
      </c>
      <c r="F144" s="183">
        <v>-3.741666666666664E-3</v>
      </c>
      <c r="G144" s="176">
        <v>7935000000</v>
      </c>
      <c r="H144" s="176">
        <v>9707848000</v>
      </c>
      <c r="I144" s="174">
        <v>0.81737991777374353</v>
      </c>
      <c r="J144" s="176">
        <v>8.885645604395604</v>
      </c>
    </row>
    <row r="145" spans="1:10">
      <c r="A145" s="65">
        <v>1583</v>
      </c>
      <c r="B145" s="174">
        <v>2.84</v>
      </c>
      <c r="C145" s="183">
        <v>0.54495912806539515</v>
      </c>
      <c r="D145" s="176">
        <v>100000000</v>
      </c>
      <c r="E145" s="26">
        <f>VLOOKUP(1583,季財報!$A:$H,8,0)</f>
        <v>1</v>
      </c>
      <c r="F145" s="183">
        <v>1.7224999999999997E-2</v>
      </c>
      <c r="G145" s="176">
        <v>6900000000</v>
      </c>
      <c r="H145" s="176">
        <v>7476227000</v>
      </c>
      <c r="I145" s="174">
        <v>0.92292542749170137</v>
      </c>
      <c r="J145" s="176">
        <v>11.14568661971831</v>
      </c>
    </row>
    <row r="146" spans="1:10">
      <c r="A146" s="65">
        <v>1584</v>
      </c>
      <c r="B146" s="174">
        <v>-0.24</v>
      </c>
      <c r="C146" s="183">
        <v>1</v>
      </c>
      <c r="D146" s="176">
        <v>104166666.66666667</v>
      </c>
      <c r="E146" s="26">
        <f>VLOOKUP(1584,季財報!$A:$H,8,0)</f>
        <v>1</v>
      </c>
      <c r="F146" s="183">
        <v>-3.1991666666666675E-2</v>
      </c>
      <c r="G146" s="176">
        <v>1406250000</v>
      </c>
      <c r="H146" s="176">
        <v>1049306000</v>
      </c>
      <c r="I146" s="174">
        <v>1.3401715038320565</v>
      </c>
      <c r="J146" s="176">
        <v>0</v>
      </c>
    </row>
    <row r="147" spans="1:10">
      <c r="A147" s="65">
        <v>1586</v>
      </c>
      <c r="B147" s="174">
        <v>-0.34</v>
      </c>
      <c r="C147" s="183">
        <v>0.38709677419354838</v>
      </c>
      <c r="D147" s="176">
        <v>44117647.058823526</v>
      </c>
      <c r="E147" s="26">
        <f>VLOOKUP(1586,季財報!$A:$H,8,0)</f>
        <v>0</v>
      </c>
      <c r="F147" s="183">
        <v>-1.0083333333333318E-3</v>
      </c>
      <c r="G147" s="176">
        <v>1436029411.7647057</v>
      </c>
      <c r="H147" s="176">
        <v>1655340000</v>
      </c>
      <c r="I147" s="174">
        <v>0.86751326722287003</v>
      </c>
      <c r="J147" s="176">
        <v>0</v>
      </c>
    </row>
    <row r="148" spans="1:10">
      <c r="A148" s="65">
        <v>1589</v>
      </c>
      <c r="B148" s="174">
        <v>3.29</v>
      </c>
      <c r="C148" s="183">
        <v>0.74631268436578169</v>
      </c>
      <c r="D148" s="176">
        <v>112158054.71124619</v>
      </c>
      <c r="E148" s="26">
        <f>VLOOKUP(1589,季財報!$A:$H,8,0)</f>
        <v>4</v>
      </c>
      <c r="F148" s="183">
        <v>2.3158333333333336E-2</v>
      </c>
      <c r="G148" s="176">
        <v>21197872340.425529</v>
      </c>
      <c r="H148" s="176">
        <v>8062401000</v>
      </c>
      <c r="I148" s="174">
        <v>2.6292257530263665</v>
      </c>
      <c r="J148" s="176">
        <v>19.243545538642671</v>
      </c>
    </row>
    <row r="149" spans="1:10">
      <c r="A149" s="65">
        <v>1590</v>
      </c>
      <c r="B149" s="174">
        <v>1.45</v>
      </c>
      <c r="C149" s="183">
        <v>1</v>
      </c>
      <c r="D149" s="176">
        <v>178620689.65517241</v>
      </c>
      <c r="E149" s="26">
        <f>VLOOKUP(1590,季財報!$A:$H,8,0)</f>
        <v>1</v>
      </c>
      <c r="F149" s="183">
        <v>5.1841666666666668E-2</v>
      </c>
      <c r="G149" s="176">
        <v>27239655172.413792</v>
      </c>
      <c r="H149" s="176">
        <v>8688005000</v>
      </c>
      <c r="I149" s="174">
        <v>3.1353176215268972</v>
      </c>
      <c r="J149" s="176">
        <v>26.293103448275861</v>
      </c>
    </row>
    <row r="150" spans="1:10">
      <c r="A150" s="65">
        <v>1591</v>
      </c>
      <c r="B150" s="174">
        <v>0.26</v>
      </c>
      <c r="C150" s="183">
        <v>0.93333333333333335</v>
      </c>
      <c r="D150" s="176">
        <v>30769230.769230768</v>
      </c>
      <c r="E150" s="26">
        <f>VLOOKUP(1591,季財報!$A:$H,8,0)</f>
        <v>1</v>
      </c>
      <c r="F150" s="183">
        <v>-6.0583333333333357E-3</v>
      </c>
      <c r="G150" s="176">
        <v>781538461.53846145</v>
      </c>
      <c r="H150" s="176">
        <v>625074000</v>
      </c>
      <c r="I150" s="174">
        <v>1.2503135013429794</v>
      </c>
      <c r="J150" s="176">
        <v>26.167582417582416</v>
      </c>
    </row>
    <row r="151" spans="1:10">
      <c r="A151" s="65">
        <v>1592</v>
      </c>
      <c r="B151" s="174">
        <v>0.87</v>
      </c>
      <c r="C151" s="183">
        <v>1</v>
      </c>
      <c r="D151" s="176">
        <v>100000000</v>
      </c>
      <c r="E151" s="26">
        <f>VLOOKUP(1592,季財報!$A:$H,8,0)</f>
        <v>3</v>
      </c>
      <c r="F151" s="183">
        <v>2.069166666666666E-2</v>
      </c>
      <c r="G151" s="176">
        <v>3010000000</v>
      </c>
      <c r="H151" s="176">
        <v>5041865000</v>
      </c>
      <c r="I151" s="174">
        <v>0.59700130804771645</v>
      </c>
      <c r="J151" s="176">
        <v>8.6494252873563227</v>
      </c>
    </row>
    <row r="152" spans="1:10">
      <c r="A152" s="65">
        <v>1593</v>
      </c>
      <c r="B152" s="174">
        <v>1.23</v>
      </c>
      <c r="C152" s="183">
        <v>0.69767441860465118</v>
      </c>
      <c r="D152" s="176">
        <v>30081300.81300813</v>
      </c>
      <c r="E152" s="26">
        <f>VLOOKUP(1593,季財報!$A:$H,8,0)</f>
        <v>3</v>
      </c>
      <c r="F152" s="183">
        <v>4.0141666666666666E-2</v>
      </c>
      <c r="G152" s="176">
        <v>1228821138.2113822</v>
      </c>
      <c r="H152" s="176">
        <v>858343000</v>
      </c>
      <c r="I152" s="174">
        <v>1.4316201544270555</v>
      </c>
      <c r="J152" s="176">
        <v>11.900745257452574</v>
      </c>
    </row>
    <row r="153" spans="1:10">
      <c r="A153" s="65">
        <v>1595</v>
      </c>
      <c r="B153" s="174">
        <v>2.11</v>
      </c>
      <c r="C153" s="183">
        <v>0.68421052631578949</v>
      </c>
      <c r="D153" s="176">
        <v>38862559.241706163</v>
      </c>
      <c r="E153" s="26">
        <f>VLOOKUP(1595,季財報!$A:$H,8,0)</f>
        <v>2</v>
      </c>
      <c r="F153" s="183">
        <v>-7.6666666666666888E-3</v>
      </c>
      <c r="G153" s="176">
        <v>2316208530.8056874</v>
      </c>
      <c r="H153" s="176">
        <v>1137962000</v>
      </c>
      <c r="I153" s="174">
        <v>2.0354005940494386</v>
      </c>
      <c r="J153" s="176">
        <v>10.32081662413416</v>
      </c>
    </row>
    <row r="154" spans="1:10">
      <c r="A154" s="65">
        <v>1597</v>
      </c>
      <c r="B154" s="174">
        <v>0.78</v>
      </c>
      <c r="C154" s="183">
        <v>0.66666666666666663</v>
      </c>
      <c r="D154" s="176">
        <v>56410256.410256408</v>
      </c>
      <c r="E154" s="26">
        <f>VLOOKUP(1597,季財報!$A:$H,8,0)</f>
        <v>3</v>
      </c>
      <c r="F154" s="183">
        <v>1.2108333333333334E-2</v>
      </c>
      <c r="G154" s="176">
        <v>1664102564.1025641</v>
      </c>
      <c r="H154" s="176">
        <v>1006346000</v>
      </c>
      <c r="I154" s="174">
        <v>1.6536087628932437</v>
      </c>
      <c r="J154" s="176">
        <v>14.182692307692307</v>
      </c>
    </row>
    <row r="155" spans="1:10">
      <c r="A155" s="65">
        <v>1599</v>
      </c>
      <c r="B155" s="174">
        <v>2.7</v>
      </c>
      <c r="C155" s="183">
        <v>0.90374331550802134</v>
      </c>
      <c r="D155" s="176">
        <v>44814814.814814813</v>
      </c>
      <c r="E155" s="26">
        <f>VLOOKUP(1599,季財報!$A:$H,8,0)</f>
        <v>4</v>
      </c>
      <c r="F155" s="183">
        <v>0.11845000000000001</v>
      </c>
      <c r="G155" s="176">
        <v>2778518518.5185184</v>
      </c>
      <c r="H155" s="176">
        <v>2848386000</v>
      </c>
      <c r="I155" s="174">
        <v>0.97547120317208358</v>
      </c>
      <c r="J155" s="176">
        <v>6.3521805829498144</v>
      </c>
    </row>
    <row r="156" spans="1:10">
      <c r="A156" s="65">
        <v>1603</v>
      </c>
      <c r="B156" s="174">
        <v>0.52</v>
      </c>
      <c r="C156" s="183">
        <v>0.36923076923076925</v>
      </c>
      <c r="D156" s="176">
        <v>282692307.69230771</v>
      </c>
      <c r="E156" s="26">
        <f>VLOOKUP(1603,季財報!$A:$H,8,0)</f>
        <v>1</v>
      </c>
      <c r="F156" s="183">
        <v>0.10598333333333336</v>
      </c>
      <c r="G156" s="176">
        <v>0</v>
      </c>
      <c r="H156" s="176">
        <v>2886864000</v>
      </c>
      <c r="I156" s="174">
        <v>0</v>
      </c>
      <c r="J156" s="176">
        <v>0</v>
      </c>
    </row>
    <row r="157" spans="1:10">
      <c r="A157" s="65">
        <v>1604</v>
      </c>
      <c r="B157" s="174">
        <v>0.26</v>
      </c>
      <c r="C157" s="183">
        <v>0.33950617283950618</v>
      </c>
      <c r="D157" s="176">
        <v>500000000</v>
      </c>
      <c r="E157" s="26">
        <f>VLOOKUP(1604,季財報!$A:$H,8,0)</f>
        <v>1</v>
      </c>
      <c r="F157" s="183">
        <v>5.6500000000000022E-3</v>
      </c>
      <c r="G157" s="176">
        <v>6250000000</v>
      </c>
      <c r="H157" s="176">
        <v>9759286000</v>
      </c>
      <c r="I157" s="174">
        <v>0.64041570254217373</v>
      </c>
      <c r="J157" s="176">
        <v>35.4020979020979</v>
      </c>
    </row>
    <row r="158" spans="1:10">
      <c r="A158" s="65">
        <v>1605</v>
      </c>
      <c r="B158" s="174">
        <v>0.19</v>
      </c>
      <c r="C158" s="183">
        <v>0.44581818181818184</v>
      </c>
      <c r="D158" s="176">
        <v>3500000000</v>
      </c>
      <c r="E158" s="26">
        <f>VLOOKUP(1605,季財報!$A:$H,8,0)</f>
        <v>1</v>
      </c>
      <c r="F158" s="183">
        <v>5.4833333333333305E-3</v>
      </c>
      <c r="G158" s="176">
        <v>25095000000</v>
      </c>
      <c r="H158" s="176">
        <v>149284728000</v>
      </c>
      <c r="I158" s="174">
        <v>0.16810158906542672</v>
      </c>
      <c r="J158" s="176">
        <v>21.1615652099253</v>
      </c>
    </row>
    <row r="159" spans="1:10">
      <c r="A159" s="65">
        <v>1608</v>
      </c>
      <c r="B159" s="174">
        <v>-0.43</v>
      </c>
      <c r="C159" s="183">
        <v>0</v>
      </c>
      <c r="D159" s="176">
        <v>423255813.95348835</v>
      </c>
      <c r="E159" s="26">
        <f>VLOOKUP(1608,季財報!$A:$H,8,0)</f>
        <v>1</v>
      </c>
      <c r="F159" s="183">
        <v>1.6674999999999999E-2</v>
      </c>
      <c r="G159" s="176">
        <v>2878139534.8837209</v>
      </c>
      <c r="H159" s="176">
        <v>8751940000</v>
      </c>
      <c r="I159" s="174">
        <v>0.32885732019229119</v>
      </c>
      <c r="J159" s="176">
        <v>0</v>
      </c>
    </row>
    <row r="160" spans="1:10">
      <c r="A160" s="65">
        <v>1609</v>
      </c>
      <c r="B160" s="174">
        <v>-0.45</v>
      </c>
      <c r="C160" s="183">
        <v>0.4578005115089514</v>
      </c>
      <c r="D160" s="176">
        <v>564444444.44444442</v>
      </c>
      <c r="E160" s="26">
        <f>VLOOKUP(1609,季財報!$A:$H,8,0)</f>
        <v>0</v>
      </c>
      <c r="F160" s="183">
        <v>2.6183333333333326E-2</v>
      </c>
      <c r="G160" s="176">
        <v>2635955555.5555553</v>
      </c>
      <c r="H160" s="176">
        <v>15733492000</v>
      </c>
      <c r="I160" s="174">
        <v>0.16753785844589081</v>
      </c>
      <c r="J160" s="176">
        <v>0</v>
      </c>
    </row>
    <row r="161" spans="1:10">
      <c r="A161" s="65">
        <v>1611</v>
      </c>
      <c r="B161" s="174">
        <v>0.65</v>
      </c>
      <c r="C161" s="183">
        <v>0</v>
      </c>
      <c r="D161" s="176">
        <v>400000000</v>
      </c>
      <c r="E161" s="26">
        <f>VLOOKUP(1611,季財報!$A:$H,8,0)</f>
        <v>5</v>
      </c>
      <c r="F161" s="183">
        <v>2.9583333333333354E-3</v>
      </c>
      <c r="G161" s="176">
        <v>3088000000</v>
      </c>
      <c r="H161" s="176">
        <v>2725013000</v>
      </c>
      <c r="I161" s="174">
        <v>1.1332056030558386</v>
      </c>
      <c r="J161" s="176">
        <v>0</v>
      </c>
    </row>
    <row r="162" spans="1:10">
      <c r="A162" s="65">
        <v>1612</v>
      </c>
      <c r="B162" s="174">
        <v>-0.03</v>
      </c>
      <c r="C162" s="183">
        <v>0</v>
      </c>
      <c r="D162" s="176">
        <v>300000000</v>
      </c>
      <c r="E162" s="26">
        <f>VLOOKUP(1612,季財報!$A:$H,8,0)</f>
        <v>1</v>
      </c>
      <c r="F162" s="183">
        <v>2.2999999999999993E-2</v>
      </c>
      <c r="G162" s="176">
        <v>2556000000</v>
      </c>
      <c r="H162" s="176">
        <v>3197776000</v>
      </c>
      <c r="I162" s="174">
        <v>0.79930551733454747</v>
      </c>
      <c r="J162" s="176">
        <v>0</v>
      </c>
    </row>
    <row r="163" spans="1:10">
      <c r="A163" s="65">
        <v>1613</v>
      </c>
      <c r="B163" s="174">
        <v>-0.73</v>
      </c>
      <c r="C163" s="183">
        <v>0</v>
      </c>
      <c r="D163" s="176">
        <v>227397260.2739726</v>
      </c>
      <c r="E163" s="26">
        <f>VLOOKUP(1613,季財報!$A:$H,8,0)</f>
        <v>1</v>
      </c>
      <c r="F163" s="183">
        <v>2.3191666666666669E-2</v>
      </c>
      <c r="G163" s="176">
        <v>716301369.86301363</v>
      </c>
      <c r="H163" s="176">
        <v>36680381000</v>
      </c>
      <c r="I163" s="174">
        <v>1.9528187830519361E-2</v>
      </c>
      <c r="J163" s="176">
        <v>0</v>
      </c>
    </row>
    <row r="164" spans="1:10">
      <c r="A164" s="65">
        <v>1614</v>
      </c>
      <c r="B164" s="174">
        <v>0.32</v>
      </c>
      <c r="C164" s="183">
        <v>0.94791666666666663</v>
      </c>
      <c r="D164" s="176">
        <v>256250000</v>
      </c>
      <c r="E164" s="26">
        <f>VLOOKUP(1614,季財報!$A:$H,8,0)</f>
        <v>2</v>
      </c>
      <c r="F164" s="183">
        <v>2.5308333333333335E-2</v>
      </c>
      <c r="G164" s="176">
        <v>6752187500</v>
      </c>
      <c r="H164" s="176">
        <v>5084154000</v>
      </c>
      <c r="I164" s="174">
        <v>1.3280847708389636</v>
      </c>
      <c r="J164" s="176">
        <v>21.717032967032967</v>
      </c>
    </row>
    <row r="165" spans="1:10">
      <c r="A165" s="65">
        <v>1615</v>
      </c>
      <c r="B165" s="174">
        <v>0.16</v>
      </c>
      <c r="C165" s="183">
        <v>0</v>
      </c>
      <c r="D165" s="176">
        <v>0</v>
      </c>
      <c r="E165" s="26">
        <f>VLOOKUP(1615,季財報!$A:$H,8,0)</f>
        <v>2</v>
      </c>
      <c r="F165" s="183">
        <v>1.5049999999999996E-2</v>
      </c>
      <c r="G165" s="176">
        <v>0</v>
      </c>
      <c r="H165" s="176">
        <v>2553851000</v>
      </c>
      <c r="I165" s="174">
        <v>0</v>
      </c>
      <c r="J165" s="176">
        <v>0</v>
      </c>
    </row>
    <row r="166" spans="1:10">
      <c r="A166" s="65">
        <v>1616</v>
      </c>
      <c r="B166" s="174">
        <v>-0.5</v>
      </c>
      <c r="C166" s="183">
        <v>0.25170068027210885</v>
      </c>
      <c r="D166" s="176">
        <v>190000000</v>
      </c>
      <c r="E166" s="26">
        <f>VLOOKUP(1616,季財報!$A:$H,8,0)</f>
        <v>1</v>
      </c>
      <c r="F166" s="183">
        <v>8.6166666666666631E-3</v>
      </c>
      <c r="G166" s="176">
        <v>873999999.99999988</v>
      </c>
      <c r="H166" s="176">
        <v>3571620000</v>
      </c>
      <c r="I166" s="174">
        <v>0.24470688371103305</v>
      </c>
      <c r="J166" s="176">
        <v>0</v>
      </c>
    </row>
    <row r="167" spans="1:10">
      <c r="A167" s="65">
        <v>1617</v>
      </c>
      <c r="B167" s="174">
        <v>0.24</v>
      </c>
      <c r="C167" s="183">
        <v>0.24242424242424243</v>
      </c>
      <c r="D167" s="176">
        <v>141666666.66666669</v>
      </c>
      <c r="E167" s="26">
        <f>VLOOKUP(1617,季財報!$A:$H,8,0)</f>
        <v>2</v>
      </c>
      <c r="F167" s="183">
        <v>3.7666666666666738E-3</v>
      </c>
      <c r="G167" s="176">
        <v>967583333.33333349</v>
      </c>
      <c r="H167" s="176">
        <v>3041773000</v>
      </c>
      <c r="I167" s="174">
        <v>0.3180984686672324</v>
      </c>
      <c r="J167" s="176">
        <v>29.34765625</v>
      </c>
    </row>
    <row r="168" spans="1:10">
      <c r="A168" s="65">
        <v>1618</v>
      </c>
      <c r="B168" s="174">
        <v>0.14000000000000001</v>
      </c>
      <c r="C168" s="183">
        <v>1</v>
      </c>
      <c r="D168" s="176">
        <v>242857142.85714284</v>
      </c>
      <c r="E168" s="26">
        <f>VLOOKUP(1618,季財報!$A:$H,8,0)</f>
        <v>3</v>
      </c>
      <c r="F168" s="183">
        <v>0.25332499999999997</v>
      </c>
      <c r="G168" s="176">
        <v>1692714285.7142856</v>
      </c>
      <c r="H168" s="176">
        <v>1745914000</v>
      </c>
      <c r="I168" s="174">
        <v>0.96952901787504175</v>
      </c>
      <c r="J168" s="176">
        <v>12.446428571428569</v>
      </c>
    </row>
    <row r="169" spans="1:10">
      <c r="A169" s="65">
        <v>1626</v>
      </c>
      <c r="B169" s="174">
        <v>-1.1399999999999999</v>
      </c>
      <c r="C169" s="183">
        <v>0</v>
      </c>
      <c r="D169" s="176">
        <v>122807017.54385966</v>
      </c>
      <c r="E169" s="26">
        <f>VLOOKUP(1626,季財報!$A:$H,8,0)</f>
        <v>0</v>
      </c>
      <c r="F169" s="183">
        <v>0.15382500000000002</v>
      </c>
      <c r="G169" s="176">
        <v>2892105263.1578951</v>
      </c>
      <c r="H169" s="176">
        <v>11096305000</v>
      </c>
      <c r="I169" s="174">
        <v>0.26063678523237194</v>
      </c>
      <c r="J169" s="176">
        <v>0</v>
      </c>
    </row>
    <row r="170" spans="1:10">
      <c r="A170" s="65">
        <v>1701</v>
      </c>
      <c r="B170" s="174">
        <v>0.4</v>
      </c>
      <c r="C170" s="183">
        <v>0.3256880733944954</v>
      </c>
      <c r="D170" s="176">
        <v>297500000</v>
      </c>
      <c r="E170" s="26">
        <f>VLOOKUP(1701,季財報!$A:$H,8,0)</f>
        <v>3</v>
      </c>
      <c r="F170" s="183">
        <v>1.4166666666666657E-3</v>
      </c>
      <c r="G170" s="176">
        <v>5920250000</v>
      </c>
      <c r="H170" s="176">
        <v>5544154000</v>
      </c>
      <c r="I170" s="174">
        <v>1.0678364994911758</v>
      </c>
      <c r="J170" s="176">
        <v>38.188380281690137</v>
      </c>
    </row>
    <row r="171" spans="1:10">
      <c r="A171" s="65">
        <v>1702</v>
      </c>
      <c r="B171" s="174">
        <v>0.91</v>
      </c>
      <c r="C171" s="183">
        <v>1</v>
      </c>
      <c r="D171" s="176">
        <v>247252747.25274724</v>
      </c>
      <c r="E171" s="26">
        <f>VLOOKUP(1702,季財報!$A:$H,8,0)</f>
        <v>2</v>
      </c>
      <c r="F171" s="183">
        <v>1.0150000000000001E-2</v>
      </c>
      <c r="G171" s="176">
        <v>17332417582.41758</v>
      </c>
      <c r="H171" s="176">
        <v>15326471000</v>
      </c>
      <c r="I171" s="174">
        <v>1.1308811782188855</v>
      </c>
      <c r="J171" s="176">
        <v>19.258241758241756</v>
      </c>
    </row>
    <row r="172" spans="1:10">
      <c r="A172" s="65">
        <v>1704</v>
      </c>
      <c r="B172" s="174">
        <v>9.08</v>
      </c>
      <c r="C172" s="183">
        <v>0.17786039817702087</v>
      </c>
      <c r="D172" s="176">
        <v>852863436.123348</v>
      </c>
      <c r="E172" s="26">
        <f>VLOOKUP(1704,季財報!$A:$H,8,0)</f>
        <v>4</v>
      </c>
      <c r="F172" s="183">
        <v>4.120833333333334E-2</v>
      </c>
      <c r="G172" s="176">
        <v>25372687224.669601</v>
      </c>
      <c r="H172" s="176">
        <v>35158647000</v>
      </c>
      <c r="I172" s="174">
        <v>0.72166278823726071</v>
      </c>
      <c r="J172" s="176">
        <v>4.6053418181386103</v>
      </c>
    </row>
    <row r="173" spans="1:10">
      <c r="A173" s="65">
        <v>1707</v>
      </c>
      <c r="B173" s="174">
        <v>2.0099999999999998</v>
      </c>
      <c r="C173" s="183">
        <v>0.93083003952569165</v>
      </c>
      <c r="D173" s="176">
        <v>130348258.70646767</v>
      </c>
      <c r="E173" s="26">
        <f>VLOOKUP(1707,季財報!$A:$H,8,0)</f>
        <v>2</v>
      </c>
      <c r="F173" s="183">
        <v>2.0575000000000006E-2</v>
      </c>
      <c r="G173" s="176">
        <v>24896517412.935326</v>
      </c>
      <c r="H173" s="176">
        <v>7064287000</v>
      </c>
      <c r="I173" s="174">
        <v>3.5242788710219908</v>
      </c>
      <c r="J173" s="176">
        <v>25.521543027959989</v>
      </c>
    </row>
    <row r="174" spans="1:10">
      <c r="A174" s="65">
        <v>1708</v>
      </c>
      <c r="B174" s="174">
        <v>1.21</v>
      </c>
      <c r="C174" s="183">
        <v>0.90864197530864199</v>
      </c>
      <c r="D174" s="176">
        <v>182644628.09917355</v>
      </c>
      <c r="E174" s="26">
        <f>VLOOKUP(1708,季財報!$A:$H,8,0)</f>
        <v>4</v>
      </c>
      <c r="F174" s="183">
        <v>6.1916666666666717E-3</v>
      </c>
      <c r="G174" s="176">
        <v>6392561983.4710741</v>
      </c>
      <c r="H174" s="176">
        <v>4654193000</v>
      </c>
      <c r="I174" s="174">
        <v>1.3735059941586165</v>
      </c>
      <c r="J174" s="176">
        <v>7.9584755659360393</v>
      </c>
    </row>
    <row r="175" spans="1:10">
      <c r="A175" s="65">
        <v>1709</v>
      </c>
      <c r="B175" s="174">
        <v>0.59</v>
      </c>
      <c r="C175" s="183">
        <v>0.87763713080168781</v>
      </c>
      <c r="D175" s="176">
        <v>428813559.32203394</v>
      </c>
      <c r="E175" s="26">
        <f>VLOOKUP(1709,季財報!$A:$H,8,0)</f>
        <v>2</v>
      </c>
      <c r="F175" s="183">
        <v>3.3233333333333337E-2</v>
      </c>
      <c r="G175" s="176">
        <v>6239237288.1355944</v>
      </c>
      <c r="H175" s="176">
        <v>9593580000</v>
      </c>
      <c r="I175" s="174">
        <v>0.650355476072081</v>
      </c>
      <c r="J175" s="176">
        <v>7.0248329530638856</v>
      </c>
    </row>
    <row r="176" spans="1:10">
      <c r="A176" s="65">
        <v>1710</v>
      </c>
      <c r="B176" s="174">
        <v>-0.27</v>
      </c>
      <c r="C176" s="183">
        <v>1</v>
      </c>
      <c r="D176" s="176">
        <v>870370370.37037027</v>
      </c>
      <c r="E176" s="26">
        <f>VLOOKUP(1710,季財報!$A:$H,8,0)</f>
        <v>0</v>
      </c>
      <c r="F176" s="183">
        <v>5.0225000000000013E-2</v>
      </c>
      <c r="G176" s="176">
        <v>19583333333.333332</v>
      </c>
      <c r="H176" s="176">
        <v>14119072000</v>
      </c>
      <c r="I176" s="174">
        <v>1.3870127819543192</v>
      </c>
      <c r="J176" s="176">
        <v>0</v>
      </c>
    </row>
    <row r="177" spans="1:10">
      <c r="A177" s="65">
        <v>1711</v>
      </c>
      <c r="B177" s="174">
        <v>0.36</v>
      </c>
      <c r="C177" s="183">
        <v>0.7516556291390728</v>
      </c>
      <c r="D177" s="176">
        <v>522222222.22222227</v>
      </c>
      <c r="E177" s="26">
        <f>VLOOKUP(1711,季財報!$A:$H,8,0)</f>
        <v>3</v>
      </c>
      <c r="F177" s="183">
        <v>2.2125000000000002E-2</v>
      </c>
      <c r="G177" s="176">
        <v>11567222222.222223</v>
      </c>
      <c r="H177" s="176">
        <v>9559125000</v>
      </c>
      <c r="I177" s="174">
        <v>1.2100712379242058</v>
      </c>
      <c r="J177" s="176">
        <v>20.46408467939305</v>
      </c>
    </row>
    <row r="178" spans="1:10">
      <c r="A178" s="65">
        <v>1712</v>
      </c>
      <c r="B178" s="174">
        <v>0.05</v>
      </c>
      <c r="C178" s="183">
        <v>0.74590163934426235</v>
      </c>
      <c r="D178" s="176">
        <v>340000000</v>
      </c>
      <c r="E178" s="26">
        <f>VLOOKUP(1712,季財報!$A:$H,8,0)</f>
        <v>2</v>
      </c>
      <c r="F178" s="183">
        <v>1.0408333333333334E-2</v>
      </c>
      <c r="G178" s="176">
        <v>4777000000</v>
      </c>
      <c r="H178" s="176">
        <v>17595206000</v>
      </c>
      <c r="I178" s="174">
        <v>0.27149440591943058</v>
      </c>
      <c r="J178" s="176">
        <v>50</v>
      </c>
    </row>
    <row r="179" spans="1:10">
      <c r="A179" s="65">
        <v>1713</v>
      </c>
      <c r="B179" s="174">
        <v>0.12</v>
      </c>
      <c r="C179" s="183">
        <v>0.5714285714285714</v>
      </c>
      <c r="D179" s="176">
        <v>150000000</v>
      </c>
      <c r="E179" s="26">
        <f>VLOOKUP(1713,季財報!$A:$H,8,0)</f>
        <v>1</v>
      </c>
      <c r="F179" s="183">
        <v>7.5499999999999986E-3</v>
      </c>
      <c r="G179" s="176">
        <v>2302500000</v>
      </c>
      <c r="H179" s="176">
        <v>706648000</v>
      </c>
      <c r="I179" s="174">
        <v>3.2583407863603946</v>
      </c>
      <c r="J179" s="176">
        <v>50</v>
      </c>
    </row>
    <row r="180" spans="1:10">
      <c r="A180" s="65">
        <v>1714</v>
      </c>
      <c r="B180" s="174">
        <v>0.33</v>
      </c>
      <c r="C180" s="183">
        <v>0.36832061068702288</v>
      </c>
      <c r="D180" s="176">
        <v>954545454.5454545</v>
      </c>
      <c r="E180" s="26">
        <f>VLOOKUP(1714,季財報!$A:$H,8,0)</f>
        <v>1</v>
      </c>
      <c r="F180" s="183">
        <v>-1.4624999999999997E-2</v>
      </c>
      <c r="G180" s="176">
        <v>7369090909.0909081</v>
      </c>
      <c r="H180" s="176">
        <v>43806584000</v>
      </c>
      <c r="I180" s="174">
        <v>0.1682187980941611</v>
      </c>
      <c r="J180" s="176">
        <v>15.878787878787879</v>
      </c>
    </row>
    <row r="181" spans="1:10">
      <c r="A181" s="65">
        <v>1715</v>
      </c>
      <c r="B181" s="174">
        <v>0.31</v>
      </c>
      <c r="C181" s="183">
        <v>0.60377358490566035</v>
      </c>
      <c r="D181" s="176">
        <v>409677419.35483873</v>
      </c>
      <c r="E181" s="26">
        <f>VLOOKUP(1715,季財報!$A:$H,8,0)</f>
        <v>5</v>
      </c>
      <c r="F181" s="183">
        <v>8.0333333333333298E-3</v>
      </c>
      <c r="G181" s="176">
        <v>4977580645.1612911</v>
      </c>
      <c r="H181" s="176">
        <v>11069979000</v>
      </c>
      <c r="I181" s="174">
        <v>0.4496468010608955</v>
      </c>
      <c r="J181" s="176">
        <v>16.22857862903226</v>
      </c>
    </row>
    <row r="182" spans="1:10">
      <c r="A182" s="65">
        <v>1717</v>
      </c>
      <c r="B182" s="174">
        <v>0.77</v>
      </c>
      <c r="C182" s="183">
        <v>0.98334489937543368</v>
      </c>
      <c r="D182" s="176">
        <v>1019480519.4805194</v>
      </c>
      <c r="E182" s="26">
        <f>VLOOKUP(1717,季財報!$A:$H,8,0)</f>
        <v>3</v>
      </c>
      <c r="F182" s="183">
        <v>9.2416666666666689E-3</v>
      </c>
      <c r="G182" s="176">
        <v>31909740259.740257</v>
      </c>
      <c r="H182" s="176">
        <v>38850390000</v>
      </c>
      <c r="I182" s="174">
        <v>0.82134929043801763</v>
      </c>
      <c r="J182" s="176">
        <v>10.334459118862789</v>
      </c>
    </row>
    <row r="183" spans="1:10">
      <c r="A183" s="65">
        <v>1720</v>
      </c>
      <c r="B183" s="174">
        <v>0.53</v>
      </c>
      <c r="C183" s="183">
        <v>0.66666666666666663</v>
      </c>
      <c r="D183" s="176">
        <v>177358490.56603771</v>
      </c>
      <c r="E183" s="26">
        <f>VLOOKUP(1720,季財報!$A:$H,8,0)</f>
        <v>3</v>
      </c>
      <c r="F183" s="183">
        <v>1.8158333333333335E-2</v>
      </c>
      <c r="G183" s="176">
        <v>7404716981.1320744</v>
      </c>
      <c r="H183" s="176">
        <v>3304870000</v>
      </c>
      <c r="I183" s="174">
        <v>2.2405471262506769</v>
      </c>
      <c r="J183" s="176">
        <v>29.540094339622641</v>
      </c>
    </row>
    <row r="184" spans="1:10">
      <c r="A184" s="65">
        <v>1721</v>
      </c>
      <c r="B184" s="174">
        <v>0.3</v>
      </c>
      <c r="C184" s="183">
        <v>0.70270270270270274</v>
      </c>
      <c r="D184" s="176">
        <v>83333333.333333343</v>
      </c>
      <c r="E184" s="26">
        <f>VLOOKUP(1721,季財報!$A:$H,8,0)</f>
        <v>3</v>
      </c>
      <c r="F184" s="183">
        <v>3.2099999999999997E-2</v>
      </c>
      <c r="G184" s="176">
        <v>1033333333.3333335</v>
      </c>
      <c r="H184" s="176">
        <v>1447512000</v>
      </c>
      <c r="I184" s="174">
        <v>0.71386857817643889</v>
      </c>
      <c r="J184" s="176">
        <v>14.705128205128204</v>
      </c>
    </row>
    <row r="185" spans="1:10">
      <c r="A185" s="65">
        <v>1722</v>
      </c>
      <c r="B185" s="174">
        <v>1.17</v>
      </c>
      <c r="C185" s="183">
        <v>0.75370226032735776</v>
      </c>
      <c r="D185" s="176">
        <v>982051282.05128217</v>
      </c>
      <c r="E185" s="26">
        <f>VLOOKUP(1722,季財報!$A:$H,8,0)</f>
        <v>3</v>
      </c>
      <c r="F185" s="183">
        <v>0.3272916666666667</v>
      </c>
      <c r="G185" s="176">
        <v>40755128205.128212</v>
      </c>
      <c r="H185" s="176">
        <v>19822318000</v>
      </c>
      <c r="I185" s="174">
        <v>2.0560223181329356</v>
      </c>
      <c r="J185" s="176">
        <v>11.765284296308081</v>
      </c>
    </row>
    <row r="186" spans="1:10">
      <c r="A186" s="65">
        <v>1723</v>
      </c>
      <c r="B186" s="174">
        <v>1.3</v>
      </c>
      <c r="C186" s="183">
        <v>0.81192660550458717</v>
      </c>
      <c r="D186" s="176">
        <v>231538461.53846154</v>
      </c>
      <c r="E186" s="26">
        <f>VLOOKUP(1723,季財報!$A:$H,8,0)</f>
        <v>1</v>
      </c>
      <c r="F186" s="183">
        <v>-2.8175000000000002E-2</v>
      </c>
      <c r="G186" s="176">
        <v>26511153846.153847</v>
      </c>
      <c r="H186" s="176">
        <v>6137385000</v>
      </c>
      <c r="I186" s="174">
        <v>4.3196172060501086</v>
      </c>
      <c r="J186" s="176">
        <v>27.119730551933941</v>
      </c>
    </row>
    <row r="187" spans="1:10">
      <c r="A187" s="65">
        <v>1724</v>
      </c>
      <c r="B187" s="174">
        <v>0.44</v>
      </c>
      <c r="C187" s="183">
        <v>0.75308641975308643</v>
      </c>
      <c r="D187" s="176">
        <v>127272727.27272727</v>
      </c>
      <c r="E187" s="26">
        <f>VLOOKUP(1724,季財報!$A:$H,8,0)</f>
        <v>4</v>
      </c>
      <c r="F187" s="183">
        <v>3.3958333333333333E-2</v>
      </c>
      <c r="G187" s="176">
        <v>1915454545.4545455</v>
      </c>
      <c r="H187" s="176">
        <v>1722201000</v>
      </c>
      <c r="I187" s="174">
        <v>1.1122131188255875</v>
      </c>
      <c r="J187" s="176">
        <v>11.354787630402384</v>
      </c>
    </row>
    <row r="188" spans="1:10">
      <c r="A188" s="65">
        <v>1725</v>
      </c>
      <c r="B188" s="174">
        <v>0.56999999999999995</v>
      </c>
      <c r="C188" s="183">
        <v>0.38059701492537312</v>
      </c>
      <c r="D188" s="176">
        <v>182456140.3508772</v>
      </c>
      <c r="E188" s="26">
        <f>VLOOKUP(1725,季財報!$A:$H,8,0)</f>
        <v>3</v>
      </c>
      <c r="F188" s="183">
        <v>-1.0666666666666661E-3</v>
      </c>
      <c r="G188" s="176">
        <v>2654736842.1052632</v>
      </c>
      <c r="H188" s="176">
        <v>9342638000</v>
      </c>
      <c r="I188" s="174">
        <v>0.2841528101704533</v>
      </c>
      <c r="J188" s="176">
        <v>16.767285861713109</v>
      </c>
    </row>
    <row r="189" spans="1:10">
      <c r="A189" s="65">
        <v>1726</v>
      </c>
      <c r="B189" s="174">
        <v>1.65</v>
      </c>
      <c r="C189" s="183">
        <v>0.91832669322709159</v>
      </c>
      <c r="D189" s="176">
        <v>161818181.81818181</v>
      </c>
      <c r="E189" s="26">
        <f>VLOOKUP(1726,季財報!$A:$H,8,0)</f>
        <v>3</v>
      </c>
      <c r="F189" s="183">
        <v>2.1666666666666592E-4</v>
      </c>
      <c r="G189" s="176">
        <v>11149272727.272728</v>
      </c>
      <c r="H189" s="176">
        <v>8059043000</v>
      </c>
      <c r="I189" s="174">
        <v>1.3834487205581021</v>
      </c>
      <c r="J189" s="176">
        <v>11.367843291921385</v>
      </c>
    </row>
    <row r="190" spans="1:10">
      <c r="A190" s="65">
        <v>1727</v>
      </c>
      <c r="B190" s="174">
        <v>0.25</v>
      </c>
      <c r="C190" s="183">
        <v>1</v>
      </c>
      <c r="D190" s="176">
        <v>108000000</v>
      </c>
      <c r="E190" s="26">
        <f>VLOOKUP(1727,季財報!$A:$H,8,0)</f>
        <v>2</v>
      </c>
      <c r="F190" s="183">
        <v>1.3974999999999996E-2</v>
      </c>
      <c r="G190" s="176">
        <v>1706400000</v>
      </c>
      <c r="H190" s="176">
        <v>2241586000</v>
      </c>
      <c r="I190" s="174">
        <v>0.76124672441744368</v>
      </c>
      <c r="J190" s="176">
        <v>15.8</v>
      </c>
    </row>
    <row r="191" spans="1:10">
      <c r="A191" s="65">
        <v>1729</v>
      </c>
      <c r="B191" s="174">
        <v>0.03</v>
      </c>
      <c r="C191" s="183">
        <v>1</v>
      </c>
      <c r="D191" s="176">
        <v>200000000</v>
      </c>
      <c r="E191" s="26">
        <f>VLOOKUP(1729,季財報!$A:$H,8,0)</f>
        <v>4</v>
      </c>
      <c r="F191" s="183">
        <v>1.843333333333334E-2</v>
      </c>
      <c r="G191" s="176">
        <v>14800000000</v>
      </c>
      <c r="H191" s="176">
        <v>1366578000</v>
      </c>
      <c r="I191" s="174">
        <v>10</v>
      </c>
      <c r="J191" s="176">
        <v>50</v>
      </c>
    </row>
    <row r="192" spans="1:10">
      <c r="A192" s="65">
        <v>1730</v>
      </c>
      <c r="B192" s="174">
        <v>0.81</v>
      </c>
      <c r="C192" s="183">
        <v>0.80555555555555558</v>
      </c>
      <c r="D192" s="176">
        <v>53086419.753086418</v>
      </c>
      <c r="E192" s="26">
        <f>VLOOKUP(1730,季財報!$A:$H,8,0)</f>
        <v>6</v>
      </c>
      <c r="F192" s="183">
        <v>3.4066666666666669E-2</v>
      </c>
      <c r="G192" s="176">
        <v>1913765432.0987651</v>
      </c>
      <c r="H192" s="176">
        <v>1948921000</v>
      </c>
      <c r="I192" s="174">
        <v>0.98196152234942569</v>
      </c>
      <c r="J192" s="176">
        <v>13.812260536398465</v>
      </c>
    </row>
    <row r="193" spans="1:10">
      <c r="A193" s="65">
        <v>1731</v>
      </c>
      <c r="B193" s="174">
        <v>0.11</v>
      </c>
      <c r="C193" s="183">
        <v>1</v>
      </c>
      <c r="D193" s="176">
        <v>127272727.27272727</v>
      </c>
      <c r="E193" s="26">
        <f>VLOOKUP(1731,季財報!$A:$H,8,0)</f>
        <v>2</v>
      </c>
      <c r="F193" s="183">
        <v>1.5174999999999999E-2</v>
      </c>
      <c r="G193" s="176">
        <v>1953636363.6363635</v>
      </c>
      <c r="H193" s="176">
        <v>1343714000</v>
      </c>
      <c r="I193" s="174">
        <v>1.4539078729821699</v>
      </c>
      <c r="J193" s="176">
        <v>34.886363636363633</v>
      </c>
    </row>
    <row r="194" spans="1:10">
      <c r="A194" s="65">
        <v>1732</v>
      </c>
      <c r="B194" s="174">
        <v>0.01</v>
      </c>
      <c r="C194" s="183">
        <v>1</v>
      </c>
      <c r="D194" s="176">
        <v>100000000</v>
      </c>
      <c r="E194" s="26">
        <f>VLOOKUP(1732,季財報!$A:$H,8,0)</f>
        <v>3</v>
      </c>
      <c r="F194" s="183">
        <v>9.2166666666666664E-3</v>
      </c>
      <c r="G194" s="176">
        <v>1320000000</v>
      </c>
      <c r="H194" s="176">
        <v>598393000</v>
      </c>
      <c r="I194" s="174">
        <v>2.2059081573480972</v>
      </c>
      <c r="J194" s="176">
        <v>50</v>
      </c>
    </row>
    <row r="195" spans="1:10">
      <c r="A195" s="65">
        <v>1733</v>
      </c>
      <c r="B195" s="174">
        <v>1.1100000000000001</v>
      </c>
      <c r="C195" s="183">
        <v>0.73333333333333328</v>
      </c>
      <c r="D195" s="176">
        <v>98198198.198198184</v>
      </c>
      <c r="E195" s="26">
        <f>VLOOKUP(1733,季財報!$A:$H,8,0)</f>
        <v>4</v>
      </c>
      <c r="F195" s="183">
        <v>1.6749999999999991E-2</v>
      </c>
      <c r="G195" s="176">
        <v>5106306306.3063059</v>
      </c>
      <c r="H195" s="176">
        <v>1875341000</v>
      </c>
      <c r="I195" s="174">
        <v>2.7228681644065298</v>
      </c>
      <c r="J195" s="176">
        <v>15.970515970515969</v>
      </c>
    </row>
    <row r="196" spans="1:10">
      <c r="A196" s="65">
        <v>1734</v>
      </c>
      <c r="B196" s="174">
        <v>-0.1</v>
      </c>
      <c r="C196" s="183">
        <v>1</v>
      </c>
      <c r="D196" s="176">
        <v>170000000</v>
      </c>
      <c r="E196" s="26">
        <f>VLOOKUP(1734,季財報!$A:$H,8,0)</f>
        <v>2</v>
      </c>
      <c r="F196" s="183">
        <v>2.1458333333333326E-2</v>
      </c>
      <c r="G196" s="176">
        <v>5244500000</v>
      </c>
      <c r="H196" s="176">
        <v>2238489000</v>
      </c>
      <c r="I196" s="174">
        <v>2.342875037581154</v>
      </c>
      <c r="J196" s="176">
        <v>0</v>
      </c>
    </row>
    <row r="197" spans="1:10">
      <c r="A197" s="65">
        <v>1735</v>
      </c>
      <c r="B197" s="174">
        <v>0.28999999999999998</v>
      </c>
      <c r="C197" s="183">
        <v>0.92307692307692313</v>
      </c>
      <c r="D197" s="176">
        <v>100000000</v>
      </c>
      <c r="E197" s="26">
        <f>VLOOKUP(1735,季財報!$A:$H,8,0)</f>
        <v>2</v>
      </c>
      <c r="F197" s="183">
        <v>1.3016666666666668E-2</v>
      </c>
      <c r="G197" s="176">
        <v>1195000000</v>
      </c>
      <c r="H197" s="176">
        <v>3599863000</v>
      </c>
      <c r="I197" s="174">
        <v>0.33195707725543999</v>
      </c>
      <c r="J197" s="176">
        <v>11.160201149425287</v>
      </c>
    </row>
    <row r="198" spans="1:10">
      <c r="A198" s="65">
        <v>1736</v>
      </c>
      <c r="B198" s="174">
        <v>0.73</v>
      </c>
      <c r="C198" s="183">
        <v>0</v>
      </c>
      <c r="D198" s="176">
        <v>302739726.02739727</v>
      </c>
      <c r="E198" s="26">
        <f>VLOOKUP(1736,季財報!$A:$H,8,0)</f>
        <v>1</v>
      </c>
      <c r="F198" s="183">
        <v>1.827500000000001E-2</v>
      </c>
      <c r="G198" s="176">
        <v>16469041095.890411</v>
      </c>
      <c r="H198" s="176">
        <v>16521148000</v>
      </c>
      <c r="I198" s="174">
        <v>0.99684604822197653</v>
      </c>
      <c r="J198" s="176">
        <v>0</v>
      </c>
    </row>
    <row r="199" spans="1:10">
      <c r="A199" s="65">
        <v>1737</v>
      </c>
      <c r="B199" s="174">
        <v>0.6</v>
      </c>
      <c r="C199" s="183">
        <v>0.80319148936170215</v>
      </c>
      <c r="D199" s="176">
        <v>200000000</v>
      </c>
      <c r="E199" s="26">
        <f>VLOOKUP(1737,季財報!$A:$H,8,0)</f>
        <v>3</v>
      </c>
      <c r="F199" s="183">
        <v>1.285E-2</v>
      </c>
      <c r="G199" s="176">
        <v>5200000000</v>
      </c>
      <c r="H199" s="176">
        <v>2766113000</v>
      </c>
      <c r="I199" s="174">
        <v>1.8798942776379708</v>
      </c>
      <c r="J199" s="176">
        <v>13.487858719646798</v>
      </c>
    </row>
    <row r="200" spans="1:10">
      <c r="A200" s="65">
        <v>1742</v>
      </c>
      <c r="B200" s="174">
        <v>-0.47</v>
      </c>
      <c r="C200" s="183">
        <v>0.65</v>
      </c>
      <c r="D200" s="176">
        <v>121276595.74468085</v>
      </c>
      <c r="E200" s="26">
        <f>VLOOKUP(1742,季財報!$A:$H,8,0)</f>
        <v>0</v>
      </c>
      <c r="F200" s="183">
        <v>7.7875000000000014E-2</v>
      </c>
      <c r="G200" s="176">
        <v>1528085106.3829787</v>
      </c>
      <c r="H200" s="176">
        <v>664678000</v>
      </c>
      <c r="I200" s="174">
        <v>2.2989855334206619</v>
      </c>
      <c r="J200" s="176">
        <v>0</v>
      </c>
    </row>
    <row r="201" spans="1:10">
      <c r="A201" s="65">
        <v>1752</v>
      </c>
      <c r="B201" s="174">
        <v>0.69</v>
      </c>
      <c r="C201" s="183">
        <v>1</v>
      </c>
      <c r="D201" s="176">
        <v>91304347.826086968</v>
      </c>
      <c r="E201" s="26">
        <f>VLOOKUP(1752,季財報!$A:$H,8,0)</f>
        <v>3</v>
      </c>
      <c r="F201" s="183">
        <v>2.643333333333334E-2</v>
      </c>
      <c r="G201" s="176">
        <v>4437391304.347827</v>
      </c>
      <c r="H201" s="176">
        <v>1480361000</v>
      </c>
      <c r="I201" s="174">
        <v>2.9975062193261151</v>
      </c>
      <c r="J201" s="176">
        <v>17.608695652173914</v>
      </c>
    </row>
    <row r="202" spans="1:10">
      <c r="A202" s="65">
        <v>1762</v>
      </c>
      <c r="B202" s="174">
        <v>0.41</v>
      </c>
      <c r="C202" s="183">
        <v>0.66666666666666663</v>
      </c>
      <c r="D202" s="176">
        <v>78048780.48780489</v>
      </c>
      <c r="E202" s="26">
        <f>VLOOKUP(1762,季財報!$A:$H,8,0)</f>
        <v>2</v>
      </c>
      <c r="F202" s="183">
        <v>0.16319166666666668</v>
      </c>
      <c r="G202" s="176">
        <v>3125853658.5365858</v>
      </c>
      <c r="H202" s="176">
        <v>1102399000</v>
      </c>
      <c r="I202" s="174">
        <v>2.8355011738368647</v>
      </c>
      <c r="J202" s="176">
        <v>36.631097560975611</v>
      </c>
    </row>
    <row r="203" spans="1:10">
      <c r="A203" s="65">
        <v>1773</v>
      </c>
      <c r="B203" s="174">
        <v>1.06</v>
      </c>
      <c r="C203" s="183">
        <v>0.7539936102236422</v>
      </c>
      <c r="D203" s="176">
        <v>150943396.2264151</v>
      </c>
      <c r="E203" s="26">
        <f>VLOOKUP(1773,季財報!$A:$H,8,0)</f>
        <v>5</v>
      </c>
      <c r="F203" s="183">
        <v>1.6000000000000007E-3</v>
      </c>
      <c r="G203" s="176">
        <v>6233962264.1509428</v>
      </c>
      <c r="H203" s="176">
        <v>6661913000</v>
      </c>
      <c r="I203" s="174">
        <v>0.93576158442041235</v>
      </c>
      <c r="J203" s="176">
        <v>12.918632075471695</v>
      </c>
    </row>
    <row r="204" spans="1:10">
      <c r="A204" s="65">
        <v>1777</v>
      </c>
      <c r="B204" s="174">
        <v>1.74</v>
      </c>
      <c r="C204" s="183">
        <v>0.78666666666666663</v>
      </c>
      <c r="D204" s="176">
        <v>29885057.47126437</v>
      </c>
      <c r="E204" s="26">
        <f>VLOOKUP(1777,季財報!$A:$H,8,0)</f>
        <v>5</v>
      </c>
      <c r="F204" s="183">
        <v>1.0966666666666666E-2</v>
      </c>
      <c r="G204" s="176">
        <v>2737471264.367816</v>
      </c>
      <c r="H204" s="176">
        <v>655116000</v>
      </c>
      <c r="I204" s="174">
        <v>4.1786054139538891</v>
      </c>
      <c r="J204" s="176">
        <v>16.729982466393921</v>
      </c>
    </row>
    <row r="205" spans="1:10">
      <c r="A205" s="65">
        <v>1781</v>
      </c>
      <c r="B205" s="174">
        <v>0.01</v>
      </c>
      <c r="C205" s="183">
        <v>0</v>
      </c>
      <c r="D205" s="176">
        <v>0</v>
      </c>
      <c r="E205" s="26">
        <f>VLOOKUP(1781,季財報!$A:$H,8,0)</f>
        <v>4</v>
      </c>
      <c r="F205" s="183">
        <v>2.5775000000000006E-2</v>
      </c>
      <c r="G205" s="176">
        <v>0</v>
      </c>
      <c r="H205" s="176">
        <v>692419000</v>
      </c>
      <c r="I205" s="174">
        <v>0</v>
      </c>
      <c r="J205" s="176">
        <v>0</v>
      </c>
    </row>
    <row r="206" spans="1:10">
      <c r="A206" s="65">
        <v>1783</v>
      </c>
      <c r="B206" s="174">
        <v>-0.08</v>
      </c>
      <c r="C206" s="183">
        <v>1</v>
      </c>
      <c r="D206" s="176">
        <v>75000000</v>
      </c>
      <c r="E206" s="26">
        <f>VLOOKUP(1783,季財報!$A:$H,8,0)</f>
        <v>2</v>
      </c>
      <c r="F206" s="183">
        <v>6.1525000000000003E-2</v>
      </c>
      <c r="G206" s="176">
        <v>1965000000</v>
      </c>
      <c r="H206" s="176">
        <v>255859000</v>
      </c>
      <c r="I206" s="174">
        <v>7.6800112561997036</v>
      </c>
      <c r="J206" s="176">
        <v>0</v>
      </c>
    </row>
    <row r="207" spans="1:10">
      <c r="A207" s="65">
        <v>1784</v>
      </c>
      <c r="B207" s="174">
        <v>0.1</v>
      </c>
      <c r="C207" s="183">
        <v>0.5</v>
      </c>
      <c r="D207" s="176">
        <v>50000000</v>
      </c>
      <c r="E207" s="26">
        <f>VLOOKUP(1784,季財報!$A:$H,8,0)</f>
        <v>0</v>
      </c>
      <c r="F207" s="183">
        <v>1.3058333333333332E-2</v>
      </c>
      <c r="G207" s="176">
        <v>1914999999.9999998</v>
      </c>
      <c r="H207" s="176">
        <v>633628000</v>
      </c>
      <c r="I207" s="174">
        <v>3.0222780558939943</v>
      </c>
      <c r="J207" s="176">
        <v>50</v>
      </c>
    </row>
    <row r="208" spans="1:10">
      <c r="A208" s="65">
        <v>1785</v>
      </c>
      <c r="B208" s="174">
        <v>0.21</v>
      </c>
      <c r="C208" s="183">
        <v>3.608247422680412E-2</v>
      </c>
      <c r="D208" s="176">
        <v>395238095.23809522</v>
      </c>
      <c r="E208" s="26">
        <f>VLOOKUP(1785,季財報!$A:$H,8,0)</f>
        <v>1</v>
      </c>
      <c r="F208" s="183">
        <v>5.4825000000000006E-2</v>
      </c>
      <c r="G208" s="176">
        <v>7549047619.0476189</v>
      </c>
      <c r="H208" s="176">
        <v>66255933000</v>
      </c>
      <c r="I208" s="174">
        <v>0.11393768493227042</v>
      </c>
      <c r="J208" s="176">
        <v>50</v>
      </c>
    </row>
    <row r="209" spans="1:10">
      <c r="A209" s="65">
        <v>1786</v>
      </c>
      <c r="B209" s="174">
        <v>0.48</v>
      </c>
      <c r="C209" s="183">
        <v>0.76666666666666672</v>
      </c>
      <c r="D209" s="176">
        <v>52083333.333333336</v>
      </c>
      <c r="E209" s="26">
        <f>VLOOKUP(1786,季財報!$A:$H,8,0)</f>
        <v>5</v>
      </c>
      <c r="F209" s="183">
        <v>0.11119166666666665</v>
      </c>
      <c r="G209" s="176">
        <v>3213541666.666667</v>
      </c>
      <c r="H209" s="176">
        <v>239445000</v>
      </c>
      <c r="I209" s="174">
        <v>10</v>
      </c>
      <c r="J209" s="176">
        <v>41.915760869565219</v>
      </c>
    </row>
    <row r="210" spans="1:10">
      <c r="A210" s="65">
        <v>1787</v>
      </c>
      <c r="B210" s="174">
        <v>0.6</v>
      </c>
      <c r="C210" s="183">
        <v>1</v>
      </c>
      <c r="D210" s="176">
        <v>66666666.666666672</v>
      </c>
      <c r="E210" s="26">
        <f>VLOOKUP(1787,季財報!$A:$H,8,0)</f>
        <v>5</v>
      </c>
      <c r="F210" s="183">
        <v>2.4975000000000008E-2</v>
      </c>
      <c r="G210" s="176">
        <v>1576666666.6666667</v>
      </c>
      <c r="H210" s="176">
        <v>1441951000</v>
      </c>
      <c r="I210" s="174">
        <v>1.0934259670867226</v>
      </c>
      <c r="J210" s="176">
        <v>9.8541666666666661</v>
      </c>
    </row>
    <row r="211" spans="1:10">
      <c r="A211" s="65">
        <v>1788</v>
      </c>
      <c r="B211" s="174">
        <v>1.39</v>
      </c>
      <c r="C211" s="183">
        <v>0.97979797979797978</v>
      </c>
      <c r="D211" s="176">
        <v>35251798.56115108</v>
      </c>
      <c r="E211" s="26">
        <f>VLOOKUP(1788,季財報!$A:$H,8,0)</f>
        <v>1</v>
      </c>
      <c r="F211" s="183">
        <v>1.5900000000000001E-2</v>
      </c>
      <c r="G211" s="176">
        <v>3348920863.3093524</v>
      </c>
      <c r="H211" s="176">
        <v>2709238000</v>
      </c>
      <c r="I211" s="174">
        <v>1.2361117271016251</v>
      </c>
      <c r="J211" s="176">
        <v>17.43862641845287</v>
      </c>
    </row>
    <row r="212" spans="1:10">
      <c r="A212" s="65">
        <v>1789</v>
      </c>
      <c r="B212" s="174">
        <v>0.27</v>
      </c>
      <c r="C212" s="183">
        <v>0.71865443425076447</v>
      </c>
      <c r="D212" s="176">
        <v>722222222.22222221</v>
      </c>
      <c r="E212" s="26">
        <f>VLOOKUP(1789,季財報!$A:$H,8,0)</f>
        <v>3</v>
      </c>
      <c r="F212" s="183">
        <v>1.5341666666666663E-2</v>
      </c>
      <c r="G212" s="176">
        <v>39722222222.222221</v>
      </c>
      <c r="H212" s="176">
        <v>3802968000</v>
      </c>
      <c r="I212" s="174">
        <v>10</v>
      </c>
      <c r="J212" s="176">
        <v>50</v>
      </c>
    </row>
    <row r="213" spans="1:10">
      <c r="A213" s="65">
        <v>1795</v>
      </c>
      <c r="B213" s="174">
        <v>0.06</v>
      </c>
      <c r="C213" s="183">
        <v>1</v>
      </c>
      <c r="D213" s="176">
        <v>250000000</v>
      </c>
      <c r="E213" s="26">
        <f>VLOOKUP(1795,季財報!$A:$H,8,0)</f>
        <v>4</v>
      </c>
      <c r="F213" s="183">
        <v>9.2758333333333345E-2</v>
      </c>
      <c r="G213" s="176">
        <v>18200000000</v>
      </c>
      <c r="H213" s="176">
        <v>4981857000</v>
      </c>
      <c r="I213" s="174">
        <v>3.6532562054671582</v>
      </c>
      <c r="J213" s="176">
        <v>50</v>
      </c>
    </row>
    <row r="214" spans="1:10">
      <c r="A214" s="65">
        <v>1799</v>
      </c>
      <c r="B214" s="174">
        <v>-0.37</v>
      </c>
      <c r="C214" s="183">
        <v>1</v>
      </c>
      <c r="D214" s="176">
        <v>64864864.864864863</v>
      </c>
      <c r="E214" s="26">
        <f>VLOOKUP(1799,季財報!$A:$H,8,0)</f>
        <v>3</v>
      </c>
      <c r="F214" s="183">
        <v>0.22734999999999997</v>
      </c>
      <c r="G214" s="176">
        <v>2257297297.297297</v>
      </c>
      <c r="H214" s="176">
        <v>525008000</v>
      </c>
      <c r="I214" s="174">
        <v>4.2995483826861625</v>
      </c>
      <c r="J214" s="176">
        <v>0</v>
      </c>
    </row>
    <row r="215" spans="1:10">
      <c r="A215" s="65">
        <v>1802</v>
      </c>
      <c r="B215" s="174">
        <v>-0.61</v>
      </c>
      <c r="C215" s="183">
        <v>0.56712962962962965</v>
      </c>
      <c r="D215" s="176">
        <v>2359016393.4426231</v>
      </c>
      <c r="E215" s="26">
        <f>VLOOKUP(1802,季財報!$A:$H,8,0)</f>
        <v>3</v>
      </c>
      <c r="F215" s="183">
        <v>3.1474999999999996E-2</v>
      </c>
      <c r="G215" s="176">
        <v>29251803278.688526</v>
      </c>
      <c r="H215" s="176">
        <v>40819564000</v>
      </c>
      <c r="I215" s="174">
        <v>0.71661234007027919</v>
      </c>
      <c r="J215" s="176">
        <v>0</v>
      </c>
    </row>
    <row r="216" spans="1:10">
      <c r="A216" s="65">
        <v>1805</v>
      </c>
      <c r="B216" s="174">
        <v>-0.25</v>
      </c>
      <c r="C216" s="183">
        <v>1</v>
      </c>
      <c r="D216" s="176">
        <v>80000000</v>
      </c>
      <c r="E216" s="26">
        <f>VLOOKUP(1805,季財報!$A:$H,8,0)</f>
        <v>1</v>
      </c>
      <c r="F216" s="183">
        <v>9.8266666666666669E-2</v>
      </c>
      <c r="G216" s="176">
        <v>604000000</v>
      </c>
      <c r="H216" s="176">
        <v>150024000</v>
      </c>
      <c r="I216" s="174">
        <v>4.0260225030661765</v>
      </c>
      <c r="J216" s="176">
        <v>0</v>
      </c>
    </row>
    <row r="217" spans="1:10">
      <c r="A217" s="65">
        <v>1806</v>
      </c>
      <c r="B217" s="174">
        <v>0.13</v>
      </c>
      <c r="C217" s="183">
        <v>1</v>
      </c>
      <c r="D217" s="176">
        <v>430769230.76923078</v>
      </c>
      <c r="E217" s="26">
        <f>VLOOKUP(1806,季財報!$A:$H,8,0)</f>
        <v>3</v>
      </c>
      <c r="F217" s="183">
        <v>5.2083333333333343E-2</v>
      </c>
      <c r="G217" s="176">
        <v>3028307692.3076925</v>
      </c>
      <c r="H217" s="176">
        <v>6220735000</v>
      </c>
      <c r="I217" s="174">
        <v>0.48680866365593334</v>
      </c>
      <c r="J217" s="176">
        <v>13.51923076923077</v>
      </c>
    </row>
    <row r="218" spans="1:10">
      <c r="A218" s="65">
        <v>1808</v>
      </c>
      <c r="B218" s="174">
        <v>2.85</v>
      </c>
      <c r="C218" s="183">
        <v>1</v>
      </c>
      <c r="D218" s="176">
        <v>214736842.10526314</v>
      </c>
      <c r="E218" s="26">
        <f>VLOOKUP(1808,季財報!$A:$H,8,0)</f>
        <v>6</v>
      </c>
      <c r="F218" s="183">
        <v>27.431700000000003</v>
      </c>
      <c r="G218" s="176">
        <v>5808631578.9473686</v>
      </c>
      <c r="H218" s="176">
        <v>6394662000</v>
      </c>
      <c r="I218" s="174">
        <v>0.90835631014545704</v>
      </c>
      <c r="J218" s="176">
        <v>2.3728070175438596</v>
      </c>
    </row>
    <row r="219" spans="1:10">
      <c r="A219" s="65">
        <v>1809</v>
      </c>
      <c r="B219" s="174">
        <v>0.12</v>
      </c>
      <c r="C219" s="183">
        <v>0.37142857142857144</v>
      </c>
      <c r="D219" s="176">
        <v>191666666.66666669</v>
      </c>
      <c r="E219" s="26">
        <f>VLOOKUP(1809,季財報!$A:$H,8,0)</f>
        <v>1</v>
      </c>
      <c r="F219" s="183">
        <v>-2.1316666666666668E-2</v>
      </c>
      <c r="G219" s="176">
        <v>1955000000</v>
      </c>
      <c r="H219" s="176">
        <v>2875766000</v>
      </c>
      <c r="I219" s="174">
        <v>0.67981887260646379</v>
      </c>
      <c r="J219" s="176">
        <v>50</v>
      </c>
    </row>
    <row r="220" spans="1:10">
      <c r="A220" s="65">
        <v>1810</v>
      </c>
      <c r="B220" s="174">
        <v>0.12</v>
      </c>
      <c r="C220" s="183">
        <v>0.4</v>
      </c>
      <c r="D220" s="176">
        <v>358333333.33333337</v>
      </c>
      <c r="E220" s="26">
        <f>VLOOKUP(1810,季財報!$A:$H,8,0)</f>
        <v>2</v>
      </c>
      <c r="F220" s="183">
        <v>5.0583333333333341E-2</v>
      </c>
      <c r="G220" s="176">
        <v>2956250000.0000005</v>
      </c>
      <c r="H220" s="176">
        <v>5943945000</v>
      </c>
      <c r="I220" s="174">
        <v>0.49735487121768462</v>
      </c>
      <c r="J220" s="176">
        <v>42.96875</v>
      </c>
    </row>
    <row r="221" spans="1:10">
      <c r="A221" s="65">
        <v>1813</v>
      </c>
      <c r="B221" s="174">
        <v>0.81</v>
      </c>
      <c r="C221" s="183">
        <v>0.22807017543859648</v>
      </c>
      <c r="D221" s="176">
        <v>46913580.246913575</v>
      </c>
      <c r="E221" s="26">
        <f>VLOOKUP(1813,季財報!$A:$H,8,0)</f>
        <v>3</v>
      </c>
      <c r="F221" s="183">
        <v>3.843333333333334E-2</v>
      </c>
      <c r="G221" s="176">
        <v>1407407407.4074073</v>
      </c>
      <c r="H221" s="176">
        <v>390931000</v>
      </c>
      <c r="I221" s="174">
        <v>3.6001427551343008</v>
      </c>
      <c r="J221" s="176">
        <v>40.598290598290596</v>
      </c>
    </row>
    <row r="222" spans="1:10">
      <c r="A222" s="65">
        <v>1815</v>
      </c>
      <c r="B222" s="174">
        <v>0.35</v>
      </c>
      <c r="C222" s="183">
        <v>0.8990825688073395</v>
      </c>
      <c r="D222" s="176">
        <v>411428571.42857146</v>
      </c>
      <c r="E222" s="26">
        <f>VLOOKUP(1815,季財報!$A:$H,8,0)</f>
        <v>3</v>
      </c>
      <c r="F222" s="183">
        <v>1.8000000000000006E-3</v>
      </c>
      <c r="G222" s="176">
        <v>4566857142.8571434</v>
      </c>
      <c r="H222" s="176">
        <v>4871894000</v>
      </c>
      <c r="I222" s="174">
        <v>0.93738844540894017</v>
      </c>
      <c r="J222" s="176">
        <v>8.8185131195335273</v>
      </c>
    </row>
    <row r="223" spans="1:10">
      <c r="A223" s="65">
        <v>1817</v>
      </c>
      <c r="B223" s="174">
        <v>0.97</v>
      </c>
      <c r="C223" s="183">
        <v>0.98290598290598286</v>
      </c>
      <c r="D223" s="176">
        <v>72164948.453608245</v>
      </c>
      <c r="E223" s="26">
        <f>VLOOKUP(1817,季財報!$A:$H,8,0)</f>
        <v>3</v>
      </c>
      <c r="F223" s="183">
        <v>4.2233333333333324E-2</v>
      </c>
      <c r="G223" s="176">
        <v>3070618556.7010307</v>
      </c>
      <c r="H223" s="176">
        <v>2130682000</v>
      </c>
      <c r="I223" s="174">
        <v>1.4411435196341034</v>
      </c>
      <c r="J223" s="176">
        <v>11.157216494845361</v>
      </c>
    </row>
    <row r="224" spans="1:10">
      <c r="A224" s="65">
        <v>1902</v>
      </c>
      <c r="B224" s="174">
        <v>0.18</v>
      </c>
      <c r="C224" s="183">
        <v>1</v>
      </c>
      <c r="D224" s="176">
        <v>400000000</v>
      </c>
      <c r="E224" s="26">
        <f>VLOOKUP(1902,季財報!$A:$H,8,0)</f>
        <v>3</v>
      </c>
      <c r="F224" s="183">
        <v>-5.3083333333333316E-3</v>
      </c>
      <c r="G224" s="176">
        <v>4300000000</v>
      </c>
      <c r="H224" s="176">
        <v>6338743000</v>
      </c>
      <c r="I224" s="174">
        <v>0.67836793509375592</v>
      </c>
      <c r="J224" s="176">
        <v>14.930555555555555</v>
      </c>
    </row>
    <row r="225" spans="1:10">
      <c r="A225" s="65">
        <v>1903</v>
      </c>
      <c r="B225" s="174">
        <v>-0.01</v>
      </c>
      <c r="C225" s="183">
        <v>1</v>
      </c>
      <c r="D225" s="176">
        <v>400000000</v>
      </c>
      <c r="E225" s="26">
        <f>VLOOKUP(1903,季財報!$A:$H,8,0)</f>
        <v>2</v>
      </c>
      <c r="F225" s="183">
        <v>-0.15693333333333334</v>
      </c>
      <c r="G225" s="176">
        <v>12080000000</v>
      </c>
      <c r="H225" s="176">
        <v>338080000</v>
      </c>
      <c r="I225" s="174">
        <v>10</v>
      </c>
      <c r="J225" s="176">
        <v>0</v>
      </c>
    </row>
    <row r="226" spans="1:10">
      <c r="A226" s="65">
        <v>1904</v>
      </c>
      <c r="B226" s="174">
        <v>0.22</v>
      </c>
      <c r="C226" s="183">
        <v>1</v>
      </c>
      <c r="D226" s="176">
        <v>1095454545.4545455</v>
      </c>
      <c r="E226" s="26">
        <f>VLOOKUP(1904,季財報!$A:$H,8,0)</f>
        <v>1</v>
      </c>
      <c r="F226" s="183">
        <v>-5.5833333333333375E-4</v>
      </c>
      <c r="G226" s="176">
        <v>12597727272.727274</v>
      </c>
      <c r="H226" s="176">
        <v>44305501000</v>
      </c>
      <c r="I226" s="174">
        <v>0.28433776818655709</v>
      </c>
      <c r="J226" s="176">
        <v>13.068181818181818</v>
      </c>
    </row>
    <row r="227" spans="1:10">
      <c r="A227" s="65">
        <v>1905</v>
      </c>
      <c r="B227" s="174">
        <v>0.23</v>
      </c>
      <c r="C227" s="183">
        <v>0.77389277389277389</v>
      </c>
      <c r="D227" s="176">
        <v>1169565217.3913043</v>
      </c>
      <c r="E227" s="26">
        <f>VLOOKUP(1905,季財報!$A:$H,8,0)</f>
        <v>4</v>
      </c>
      <c r="F227" s="183">
        <v>9.0416666666666683E-3</v>
      </c>
      <c r="G227" s="176">
        <v>11683956521.73913</v>
      </c>
      <c r="H227" s="176">
        <v>21171538000</v>
      </c>
      <c r="I227" s="174">
        <v>0.55187093737541082</v>
      </c>
      <c r="J227" s="176">
        <v>14.031266369827133</v>
      </c>
    </row>
    <row r="228" spans="1:10">
      <c r="A228" s="65">
        <v>1906</v>
      </c>
      <c r="B228" s="174">
        <v>-0.04</v>
      </c>
      <c r="C228" s="183">
        <v>0</v>
      </c>
      <c r="D228" s="176">
        <v>150000000</v>
      </c>
      <c r="E228" s="26">
        <f>VLOOKUP(1906,季財報!$A:$H,8,0)</f>
        <v>3</v>
      </c>
      <c r="F228" s="183">
        <v>5.4575000000000019E-2</v>
      </c>
      <c r="G228" s="176">
        <v>1120500000</v>
      </c>
      <c r="H228" s="176">
        <v>337389000</v>
      </c>
      <c r="I228" s="174">
        <v>3.3210922703466919</v>
      </c>
      <c r="J228" s="176">
        <v>0</v>
      </c>
    </row>
    <row r="229" spans="1:10">
      <c r="A229" s="65">
        <v>1907</v>
      </c>
      <c r="B229" s="174">
        <v>0.27</v>
      </c>
      <c r="C229" s="183">
        <v>0.41609822646657574</v>
      </c>
      <c r="D229" s="176">
        <v>1674074074.074074</v>
      </c>
      <c r="E229" s="26">
        <f>VLOOKUP(1907,季財報!$A:$H,8,0)</f>
        <v>2</v>
      </c>
      <c r="F229" s="183">
        <v>1.0858333333333338E-2</v>
      </c>
      <c r="G229" s="176">
        <v>18331111111.111111</v>
      </c>
      <c r="H229" s="176">
        <v>63658800000</v>
      </c>
      <c r="I229" s="174">
        <v>0.28795879141785757</v>
      </c>
      <c r="J229" s="176">
        <v>24.366575591985423</v>
      </c>
    </row>
    <row r="230" spans="1:10">
      <c r="A230" s="65">
        <v>1909</v>
      </c>
      <c r="B230" s="174">
        <v>0.31</v>
      </c>
      <c r="C230" s="183">
        <v>1</v>
      </c>
      <c r="D230" s="176">
        <v>841935483.87096775</v>
      </c>
      <c r="E230" s="26">
        <f>VLOOKUP(1909,季財報!$A:$H,8,0)</f>
        <v>2</v>
      </c>
      <c r="F230" s="183">
        <v>8.3666666666666646E-3</v>
      </c>
      <c r="G230" s="176">
        <v>9555967741.9354839</v>
      </c>
      <c r="H230" s="176">
        <v>27344825000</v>
      </c>
      <c r="I230" s="174">
        <v>0.34946165286980202</v>
      </c>
      <c r="J230" s="176">
        <v>9.1532258064516121</v>
      </c>
    </row>
    <row r="231" spans="1:10">
      <c r="A231" s="65">
        <v>2002</v>
      </c>
      <c r="B231" s="174">
        <v>0.05</v>
      </c>
      <c r="C231" s="183">
        <v>0.69217923740606735</v>
      </c>
      <c r="D231" s="176">
        <v>14880000000</v>
      </c>
      <c r="E231" s="26">
        <f>VLOOKUP(2002,季財報!$A:$H,8,0)</f>
        <v>1</v>
      </c>
      <c r="F231" s="183">
        <v>-2.6991666666666664E-2</v>
      </c>
      <c r="G231" s="176">
        <v>278256000000</v>
      </c>
      <c r="H231" s="176">
        <v>302177080000</v>
      </c>
      <c r="I231" s="174">
        <v>0.92083754333717172</v>
      </c>
      <c r="J231" s="176">
        <v>50</v>
      </c>
    </row>
    <row r="232" spans="1:10">
      <c r="A232" s="65">
        <v>2006</v>
      </c>
      <c r="B232" s="174">
        <v>0.15</v>
      </c>
      <c r="C232" s="183">
        <v>0.90466926070038911</v>
      </c>
      <c r="D232" s="176">
        <v>1013333333.3333334</v>
      </c>
      <c r="E232" s="26">
        <f>VLOOKUP(2006,季財報!$A:$H,8,0)</f>
        <v>1</v>
      </c>
      <c r="F232" s="183">
        <v>7.4083333333333353E-3</v>
      </c>
      <c r="G232" s="176">
        <v>17834666666.666668</v>
      </c>
      <c r="H232" s="176">
        <v>32210252000</v>
      </c>
      <c r="I232" s="174">
        <v>0.55369534726604031</v>
      </c>
      <c r="J232" s="176">
        <v>32.424372759856638</v>
      </c>
    </row>
    <row r="233" spans="1:10">
      <c r="A233" s="65">
        <v>2007</v>
      </c>
      <c r="B233" s="174">
        <v>-0.24</v>
      </c>
      <c r="C233" s="183">
        <v>0.54225352112676062</v>
      </c>
      <c r="D233" s="176">
        <v>620833333.33333337</v>
      </c>
      <c r="E233" s="26">
        <f>VLOOKUP(2007,季財報!$A:$H,8,0)</f>
        <v>1</v>
      </c>
      <c r="F233" s="183">
        <v>1.6808333333333338E-2</v>
      </c>
      <c r="G233" s="176">
        <v>2775125000</v>
      </c>
      <c r="H233" s="176">
        <v>7343549000</v>
      </c>
      <c r="I233" s="174">
        <v>0.37789970489745489</v>
      </c>
      <c r="J233" s="176">
        <v>0</v>
      </c>
    </row>
    <row r="234" spans="1:10">
      <c r="A234" s="65">
        <v>2008</v>
      </c>
      <c r="B234" s="174">
        <v>-0.28000000000000003</v>
      </c>
      <c r="C234" s="183">
        <v>0.95867768595041325</v>
      </c>
      <c r="D234" s="176">
        <v>275000000</v>
      </c>
      <c r="E234" s="26">
        <f>VLOOKUP(2008,季財報!$A:$H,8,0)</f>
        <v>1</v>
      </c>
      <c r="F234" s="183">
        <v>-4.4141666666666669E-2</v>
      </c>
      <c r="G234" s="176">
        <v>2367750000</v>
      </c>
      <c r="H234" s="176">
        <v>1353617000</v>
      </c>
      <c r="I234" s="174">
        <v>1.7492023223703603</v>
      </c>
      <c r="J234" s="176">
        <v>0</v>
      </c>
    </row>
    <row r="235" spans="1:10">
      <c r="A235" s="65">
        <v>2009</v>
      </c>
      <c r="B235" s="174">
        <v>-0.37</v>
      </c>
      <c r="C235" s="183">
        <v>0.59428571428571431</v>
      </c>
      <c r="D235" s="176">
        <v>356756756.75675678</v>
      </c>
      <c r="E235" s="26">
        <f>VLOOKUP(2009,季財報!$A:$H,8,0)</f>
        <v>1</v>
      </c>
      <c r="F235" s="183">
        <v>-7.9333333333333356E-3</v>
      </c>
      <c r="G235" s="176">
        <v>2408108108.1081085</v>
      </c>
      <c r="H235" s="176">
        <v>3352468000</v>
      </c>
      <c r="I235" s="174">
        <v>0.7183090511551814</v>
      </c>
      <c r="J235" s="176">
        <v>0</v>
      </c>
    </row>
    <row r="236" spans="1:10">
      <c r="A236" s="65">
        <v>2010</v>
      </c>
      <c r="B236" s="174">
        <v>0.11</v>
      </c>
      <c r="C236" s="183">
        <v>0.45402298850574713</v>
      </c>
      <c r="D236" s="176">
        <v>663636363.63636363</v>
      </c>
      <c r="E236" s="26">
        <f>VLOOKUP(2010,季財報!$A:$H,8,0)</f>
        <v>0</v>
      </c>
      <c r="F236" s="183">
        <v>-4.2333333333333311E-3</v>
      </c>
      <c r="G236" s="176">
        <v>6005909090.909091</v>
      </c>
      <c r="H236" s="176">
        <v>16838485000</v>
      </c>
      <c r="I236" s="174">
        <v>0.35667752122053087</v>
      </c>
      <c r="J236" s="176">
        <v>45.302071346375143</v>
      </c>
    </row>
    <row r="237" spans="1:10">
      <c r="A237" s="65">
        <v>2012</v>
      </c>
      <c r="B237" s="174">
        <v>0.32</v>
      </c>
      <c r="C237" s="183">
        <v>0.43137254901960786</v>
      </c>
      <c r="D237" s="176">
        <v>265625000</v>
      </c>
      <c r="E237" s="26">
        <f>VLOOKUP(2012,季財報!$A:$H,8,0)</f>
        <v>3</v>
      </c>
      <c r="F237" s="183">
        <v>7.3083333333333307E-3</v>
      </c>
      <c r="G237" s="176">
        <v>3718750000</v>
      </c>
      <c r="H237" s="176">
        <v>8718669000</v>
      </c>
      <c r="I237" s="174">
        <v>0.42652726006687491</v>
      </c>
      <c r="J237" s="176">
        <v>25.355113636363633</v>
      </c>
    </row>
    <row r="238" spans="1:10">
      <c r="A238" s="65">
        <v>2013</v>
      </c>
      <c r="B238" s="174">
        <v>0.24</v>
      </c>
      <c r="C238" s="183">
        <v>0.70408163265306123</v>
      </c>
      <c r="D238" s="176">
        <v>191666666.66666669</v>
      </c>
      <c r="E238" s="26">
        <f>VLOOKUP(2013,季財報!$A:$H,8,0)</f>
        <v>0</v>
      </c>
      <c r="F238" s="183">
        <v>1.6458333333333332E-2</v>
      </c>
      <c r="G238" s="176">
        <v>3612916666.6666675</v>
      </c>
      <c r="H238" s="176">
        <v>15455815000</v>
      </c>
      <c r="I238" s="174">
        <v>0.23375775827199455</v>
      </c>
      <c r="J238" s="176">
        <v>27.88798309178744</v>
      </c>
    </row>
    <row r="239" spans="1:10">
      <c r="A239" s="65">
        <v>2014</v>
      </c>
      <c r="B239" s="174">
        <v>0.35</v>
      </c>
      <c r="C239" s="183">
        <v>0</v>
      </c>
      <c r="D239" s="176">
        <v>1454285714.2857144</v>
      </c>
      <c r="E239" s="26">
        <f>VLOOKUP(2014,季財報!$A:$H,8,0)</f>
        <v>4</v>
      </c>
      <c r="F239" s="183">
        <v>-9.1249999999999994E-3</v>
      </c>
      <c r="G239" s="176">
        <v>6587914285.7142868</v>
      </c>
      <c r="H239" s="176">
        <v>30743907000</v>
      </c>
      <c r="I239" s="174">
        <v>0.21428357448889912</v>
      </c>
      <c r="J239" s="176">
        <v>0</v>
      </c>
    </row>
    <row r="240" spans="1:10">
      <c r="A240" s="65">
        <v>2015</v>
      </c>
      <c r="B240" s="174">
        <v>0.64</v>
      </c>
      <c r="C240" s="183">
        <v>0.87662337662337664</v>
      </c>
      <c r="D240" s="176">
        <v>581250000</v>
      </c>
      <c r="E240" s="26">
        <f>VLOOKUP(2015,季財報!$A:$H,8,0)</f>
        <v>3</v>
      </c>
      <c r="F240" s="183">
        <v>3.0016666666666674E-2</v>
      </c>
      <c r="G240" s="176">
        <v>22029375000</v>
      </c>
      <c r="H240" s="176">
        <v>24922254000</v>
      </c>
      <c r="I240" s="174">
        <v>0.88392386178232518</v>
      </c>
      <c r="J240" s="176">
        <v>16.888310185185183</v>
      </c>
    </row>
    <row r="241" spans="1:10">
      <c r="A241" s="65">
        <v>2017</v>
      </c>
      <c r="B241" s="174">
        <v>-0.17</v>
      </c>
      <c r="C241" s="183">
        <v>0.80851063829787229</v>
      </c>
      <c r="D241" s="176">
        <v>382352941.17647058</v>
      </c>
      <c r="E241" s="26">
        <f>VLOOKUP(2017,季財報!$A:$H,8,0)</f>
        <v>1</v>
      </c>
      <c r="F241" s="183">
        <v>-2.3208333333333334E-2</v>
      </c>
      <c r="G241" s="176">
        <v>2091470588.2352939</v>
      </c>
      <c r="H241" s="176">
        <v>5076789000</v>
      </c>
      <c r="I241" s="174">
        <v>0.41196720766517847</v>
      </c>
      <c r="J241" s="176">
        <v>0</v>
      </c>
    </row>
    <row r="242" spans="1:10">
      <c r="A242" s="65">
        <v>2020</v>
      </c>
      <c r="B242" s="174">
        <v>-1.84</v>
      </c>
      <c r="C242" s="183">
        <v>0</v>
      </c>
      <c r="D242" s="176">
        <v>257065217.39130434</v>
      </c>
      <c r="E242" s="26">
        <f>VLOOKUP(2020,季財報!$A:$H,8,0)</f>
        <v>0</v>
      </c>
      <c r="F242" s="183">
        <v>1.2574999999999994E-2</v>
      </c>
      <c r="G242" s="176">
        <v>3316141304.347826</v>
      </c>
      <c r="H242" s="176">
        <v>4626227000</v>
      </c>
      <c r="I242" s="174">
        <v>0.71681335661821743</v>
      </c>
      <c r="J242" s="176">
        <v>0</v>
      </c>
    </row>
    <row r="243" spans="1:10">
      <c r="A243" s="65">
        <v>2022</v>
      </c>
      <c r="B243" s="174">
        <v>-0.36</v>
      </c>
      <c r="C243" s="183">
        <v>0.42662116040955633</v>
      </c>
      <c r="D243" s="176">
        <v>541666666.66666675</v>
      </c>
      <c r="E243" s="26">
        <f>VLOOKUP(2022,季財報!$A:$H,8,0)</f>
        <v>1</v>
      </c>
      <c r="F243" s="183">
        <v>4.908333333333334E-3</v>
      </c>
      <c r="G243" s="176">
        <v>2020416666.666667</v>
      </c>
      <c r="H243" s="176">
        <v>8296749000</v>
      </c>
      <c r="I243" s="174">
        <v>0.24351907797459788</v>
      </c>
      <c r="J243" s="176">
        <v>0</v>
      </c>
    </row>
    <row r="244" spans="1:10">
      <c r="A244" s="173">
        <v>2023</v>
      </c>
      <c r="B244" s="179">
        <v>-0.26</v>
      </c>
      <c r="C244" s="183">
        <v>0</v>
      </c>
      <c r="D244" s="180">
        <v>1711538461.5384614</v>
      </c>
      <c r="E244" s="26">
        <f>VLOOKUP(2023,季財報!$A:$H,8,0)</f>
        <v>0</v>
      </c>
      <c r="F244" s="183">
        <v>-2.9449999999999994E-2</v>
      </c>
      <c r="G244" s="180">
        <v>12631153846.153845</v>
      </c>
      <c r="H244" s="180">
        <v>52980384000</v>
      </c>
      <c r="I244" s="179">
        <v>0.23841189686646749</v>
      </c>
      <c r="J244" s="180">
        <v>0</v>
      </c>
    </row>
    <row r="245" spans="1:10">
      <c r="A245" s="65">
        <v>2024</v>
      </c>
      <c r="B245" s="174">
        <v>0.08</v>
      </c>
      <c r="C245" s="183">
        <v>1</v>
      </c>
      <c r="D245" s="176">
        <v>100000000</v>
      </c>
      <c r="E245" s="26">
        <f>VLOOKUP(2024,季財報!$A:$H,8,0)</f>
        <v>2</v>
      </c>
      <c r="F245" s="183">
        <v>-2.7499999999999861E-4</v>
      </c>
      <c r="G245" s="176">
        <v>672000000</v>
      </c>
      <c r="H245" s="176">
        <v>1422297000</v>
      </c>
      <c r="I245" s="174">
        <v>0.4724751581420758</v>
      </c>
      <c r="J245" s="176">
        <v>21</v>
      </c>
    </row>
    <row r="246" spans="1:10">
      <c r="A246" s="65">
        <v>2025</v>
      </c>
      <c r="B246" s="174">
        <v>-0.56000000000000005</v>
      </c>
      <c r="C246" s="183">
        <v>0.66666666666666663</v>
      </c>
      <c r="D246" s="176">
        <v>278571428.57142854</v>
      </c>
      <c r="E246" s="26">
        <f>VLOOKUP(2025,季財報!$A:$H,8,0)</f>
        <v>1</v>
      </c>
      <c r="F246" s="183">
        <v>-1.140833333333334E-2</v>
      </c>
      <c r="G246" s="176">
        <v>501428571.4285714</v>
      </c>
      <c r="H246" s="176">
        <v>3364500000</v>
      </c>
      <c r="I246" s="174">
        <v>0.14903509330615883</v>
      </c>
      <c r="J246" s="176">
        <v>0</v>
      </c>
    </row>
    <row r="247" spans="1:10">
      <c r="A247" s="65">
        <v>2027</v>
      </c>
      <c r="B247" s="174">
        <v>-0.33</v>
      </c>
      <c r="C247" s="183">
        <v>1</v>
      </c>
      <c r="D247" s="176">
        <v>787878787.87878788</v>
      </c>
      <c r="E247" s="26">
        <f>VLOOKUP(2027,季財報!$A:$H,8,0)</f>
        <v>1</v>
      </c>
      <c r="F247" s="183">
        <v>-4.6166666666666691E-3</v>
      </c>
      <c r="G247" s="176">
        <v>11148484848.484848</v>
      </c>
      <c r="H247" s="176">
        <v>51385347000</v>
      </c>
      <c r="I247" s="174">
        <v>0.21695844242298973</v>
      </c>
      <c r="J247" s="176">
        <v>0</v>
      </c>
    </row>
    <row r="248" spans="1:10">
      <c r="A248" s="65">
        <v>2028</v>
      </c>
      <c r="B248" s="174">
        <v>-1.5</v>
      </c>
      <c r="C248" s="183">
        <v>0.73712737127371275</v>
      </c>
      <c r="D248" s="176">
        <v>343333333.33333331</v>
      </c>
      <c r="E248" s="26">
        <f>VLOOKUP(2028,季財報!$A:$H,8,0)</f>
        <v>1</v>
      </c>
      <c r="F248" s="183">
        <v>-7.7016666666666692E-2</v>
      </c>
      <c r="G248" s="176">
        <v>600833333.33333325</v>
      </c>
      <c r="H248" s="176">
        <v>6493612000</v>
      </c>
      <c r="I248" s="174">
        <v>9.2526829957400178E-2</v>
      </c>
      <c r="J248" s="176">
        <v>0</v>
      </c>
    </row>
    <row r="249" spans="1:10">
      <c r="A249" s="65">
        <v>2029</v>
      </c>
      <c r="B249" s="174">
        <v>-1.38</v>
      </c>
      <c r="C249" s="183">
        <v>0</v>
      </c>
      <c r="D249" s="176">
        <v>320289855.07246381</v>
      </c>
      <c r="E249" s="26">
        <f>VLOOKUP(2029,季財報!$A:$H,8,0)</f>
        <v>1</v>
      </c>
      <c r="F249" s="183">
        <v>-1.8600000000000002E-2</v>
      </c>
      <c r="G249" s="176">
        <v>5204710144.927537</v>
      </c>
      <c r="H249" s="176">
        <v>14281777000</v>
      </c>
      <c r="I249" s="174">
        <v>0.36443015073877272</v>
      </c>
      <c r="J249" s="176">
        <v>0</v>
      </c>
    </row>
    <row r="250" spans="1:10">
      <c r="A250" s="65">
        <v>2030</v>
      </c>
      <c r="B250" s="174">
        <v>-0.35</v>
      </c>
      <c r="C250" s="183">
        <v>0.58677685950413228</v>
      </c>
      <c r="D250" s="176">
        <v>282857142.85714287</v>
      </c>
      <c r="E250" s="26">
        <f>VLOOKUP(2030,季財報!$A:$H,8,0)</f>
        <v>2</v>
      </c>
      <c r="F250" s="183">
        <v>1.2733333333333327E-2</v>
      </c>
      <c r="G250" s="176">
        <v>2588142857.1428576</v>
      </c>
      <c r="H250" s="176">
        <v>12083650000</v>
      </c>
      <c r="I250" s="174">
        <v>0.21418551986716411</v>
      </c>
      <c r="J250" s="176">
        <v>0</v>
      </c>
    </row>
    <row r="251" spans="1:10">
      <c r="A251" s="65">
        <v>2031</v>
      </c>
      <c r="B251" s="174">
        <v>-0.71</v>
      </c>
      <c r="C251" s="183">
        <v>0.80769230769230771</v>
      </c>
      <c r="D251" s="176">
        <v>278873239.43661976</v>
      </c>
      <c r="E251" s="26">
        <f>VLOOKUP(2031,季財報!$A:$H,8,0)</f>
        <v>0</v>
      </c>
      <c r="F251" s="183">
        <v>4.8216666666666651E-2</v>
      </c>
      <c r="G251" s="176">
        <v>3555633802.8169022</v>
      </c>
      <c r="H251" s="176">
        <v>7069992000</v>
      </c>
      <c r="I251" s="174">
        <v>0.50291907017955639</v>
      </c>
      <c r="J251" s="176">
        <v>0</v>
      </c>
    </row>
    <row r="252" spans="1:10">
      <c r="A252" s="65">
        <v>2032</v>
      </c>
      <c r="B252" s="174">
        <v>-0.01</v>
      </c>
      <c r="C252" s="183">
        <v>0</v>
      </c>
      <c r="D252" s="176">
        <v>100000000</v>
      </c>
      <c r="E252" s="26">
        <f>VLOOKUP(2032,季財報!$A:$H,8,0)</f>
        <v>3</v>
      </c>
      <c r="F252" s="183">
        <v>1.0574999999999994E-2</v>
      </c>
      <c r="G252" s="176">
        <v>815000000</v>
      </c>
      <c r="H252" s="176">
        <v>3173449000</v>
      </c>
      <c r="I252" s="174">
        <v>0.25681837017075115</v>
      </c>
      <c r="J252" s="176">
        <v>0</v>
      </c>
    </row>
    <row r="253" spans="1:10">
      <c r="A253" s="65">
        <v>2033</v>
      </c>
      <c r="B253" s="174">
        <v>-0.05</v>
      </c>
      <c r="C253" s="183">
        <v>0.75</v>
      </c>
      <c r="D253" s="176">
        <v>80000000</v>
      </c>
      <c r="E253" s="26">
        <f>VLOOKUP(2033,季財報!$A:$H,8,0)</f>
        <v>1</v>
      </c>
      <c r="F253" s="183">
        <v>2.9033333333333338E-2</v>
      </c>
      <c r="G253" s="176">
        <v>0</v>
      </c>
      <c r="H253" s="176">
        <v>753110000</v>
      </c>
      <c r="I253" s="174">
        <v>0</v>
      </c>
      <c r="J253" s="176">
        <v>0</v>
      </c>
    </row>
    <row r="254" spans="1:10">
      <c r="A254" s="65">
        <v>2034</v>
      </c>
      <c r="B254" s="174">
        <v>0.56000000000000005</v>
      </c>
      <c r="C254" s="183">
        <v>0.7192982456140351</v>
      </c>
      <c r="D254" s="176">
        <v>369642857.14285713</v>
      </c>
      <c r="E254" s="26">
        <f>VLOOKUP(2034,季財報!$A:$H,8,0)</f>
        <v>2</v>
      </c>
      <c r="F254" s="183">
        <v>-2.5150000000000006E-2</v>
      </c>
      <c r="G254" s="176">
        <v>6986249999.999999</v>
      </c>
      <c r="H254" s="176">
        <v>19114313000</v>
      </c>
      <c r="I254" s="174">
        <v>0.36549835717349605</v>
      </c>
      <c r="J254" s="176">
        <v>11.730182926829267</v>
      </c>
    </row>
    <row r="255" spans="1:10">
      <c r="A255" s="65">
        <v>2035</v>
      </c>
      <c r="B255" s="174">
        <v>-1.0900000000000001</v>
      </c>
      <c r="C255" s="183">
        <v>1</v>
      </c>
      <c r="D255" s="176">
        <v>349541284.40366971</v>
      </c>
      <c r="E255" s="26">
        <f>VLOOKUP(2035,季財報!$A:$H,8,0)</f>
        <v>2</v>
      </c>
      <c r="F255" s="183">
        <v>5.5833333333332833E-4</v>
      </c>
      <c r="G255" s="176">
        <v>16078899082.568808</v>
      </c>
      <c r="H255" s="176">
        <v>15394379000</v>
      </c>
      <c r="I255" s="174">
        <v>1.0444655859498333</v>
      </c>
      <c r="J255" s="176">
        <v>0</v>
      </c>
    </row>
    <row r="256" spans="1:10">
      <c r="A256" s="65">
        <v>2038</v>
      </c>
      <c r="B256" s="174">
        <v>-0.42</v>
      </c>
      <c r="C256" s="183">
        <v>1</v>
      </c>
      <c r="D256" s="176">
        <v>173809523.80952382</v>
      </c>
      <c r="E256" s="26">
        <f>VLOOKUP(2038,季財報!$A:$H,8,0)</f>
        <v>2</v>
      </c>
      <c r="F256" s="183">
        <v>3.0341666666666666E-2</v>
      </c>
      <c r="G256" s="176">
        <v>978547619.0476191</v>
      </c>
      <c r="H256" s="176">
        <v>8579519000</v>
      </c>
      <c r="I256" s="174">
        <v>0.11405623311139228</v>
      </c>
      <c r="J256" s="176">
        <v>0</v>
      </c>
    </row>
    <row r="257" spans="1:10">
      <c r="A257" s="65">
        <v>2049</v>
      </c>
      <c r="B257" s="174">
        <v>2.21</v>
      </c>
      <c r="C257" s="183">
        <v>0.8447265625</v>
      </c>
      <c r="D257" s="176">
        <v>269683257.91855204</v>
      </c>
      <c r="E257" s="26">
        <f>VLOOKUP(2049,季財報!$A:$H,8,0)</f>
        <v>3</v>
      </c>
      <c r="F257" s="183">
        <v>-8.0916666666666654E-3</v>
      </c>
      <c r="G257" s="176">
        <v>43419004524.886879</v>
      </c>
      <c r="H257" s="176">
        <v>15749515000</v>
      </c>
      <c r="I257" s="174">
        <v>2.7568470854427503</v>
      </c>
      <c r="J257" s="176">
        <v>21.56043208746371</v>
      </c>
    </row>
    <row r="258" spans="1:10">
      <c r="A258" s="65">
        <v>2059</v>
      </c>
      <c r="B258" s="174">
        <v>7.99</v>
      </c>
      <c r="C258" s="183">
        <v>0.6807909604519774</v>
      </c>
      <c r="D258" s="176">
        <v>95244055.068836048</v>
      </c>
      <c r="E258" s="26">
        <f>VLOOKUP(2059,季財報!$A:$H,8,0)</f>
        <v>4</v>
      </c>
      <c r="F258" s="183">
        <v>4.1249999999999967E-3</v>
      </c>
      <c r="G258" s="176">
        <v>37335669586.983734</v>
      </c>
      <c r="H258" s="176">
        <v>4538893000</v>
      </c>
      <c r="I258" s="174">
        <v>8.2257214671030443</v>
      </c>
      <c r="J258" s="176">
        <v>18.016296303989947</v>
      </c>
    </row>
    <row r="259" spans="1:10">
      <c r="A259" s="65">
        <v>2061</v>
      </c>
      <c r="B259" s="174">
        <v>-0.43</v>
      </c>
      <c r="C259" s="183">
        <v>0.52830188679245282</v>
      </c>
      <c r="D259" s="176">
        <v>60465116.279069766</v>
      </c>
      <c r="E259" s="26">
        <f>VLOOKUP(2061,季財報!$A:$H,8,0)</f>
        <v>0</v>
      </c>
      <c r="F259" s="183">
        <v>5.295833333333335E-2</v>
      </c>
      <c r="G259" s="176">
        <v>792093023.25581396</v>
      </c>
      <c r="H259" s="176">
        <v>1114576000</v>
      </c>
      <c r="I259" s="174">
        <v>0.7106675751638416</v>
      </c>
      <c r="J259" s="176">
        <v>0</v>
      </c>
    </row>
    <row r="260" spans="1:10">
      <c r="A260" s="65">
        <v>2062</v>
      </c>
      <c r="B260" s="174">
        <v>1.07</v>
      </c>
      <c r="C260" s="183">
        <v>0.84154929577464788</v>
      </c>
      <c r="D260" s="176">
        <v>162616822.42990655</v>
      </c>
      <c r="E260" s="26">
        <f>VLOOKUP(2062,季財報!$A:$H,8,0)</f>
        <v>3</v>
      </c>
      <c r="F260" s="183">
        <v>1.3433333333333334E-2</v>
      </c>
      <c r="G260" s="176">
        <v>7301495327.1028042</v>
      </c>
      <c r="H260" s="176">
        <v>6597840000</v>
      </c>
      <c r="I260" s="174">
        <v>1.1066493469230543</v>
      </c>
      <c r="J260" s="176">
        <v>12.465881984905954</v>
      </c>
    </row>
    <row r="261" spans="1:10">
      <c r="A261" s="65">
        <v>2063</v>
      </c>
      <c r="B261" s="174">
        <v>0.68</v>
      </c>
      <c r="C261" s="183">
        <v>0.8</v>
      </c>
      <c r="D261" s="176">
        <v>42647058.823529407</v>
      </c>
      <c r="E261" s="26">
        <f>VLOOKUP(2063,季財報!$A:$H,8,0)</f>
        <v>2</v>
      </c>
      <c r="F261" s="183">
        <v>6.8941666666666665E-2</v>
      </c>
      <c r="G261" s="176">
        <v>1019264705.8823528</v>
      </c>
      <c r="H261" s="176">
        <v>653348000</v>
      </c>
      <c r="I261" s="174">
        <v>1.5600640177705494</v>
      </c>
      <c r="J261" s="176">
        <v>10.98345588235294</v>
      </c>
    </row>
    <row r="262" spans="1:10">
      <c r="A262" s="65">
        <v>2064</v>
      </c>
      <c r="B262" s="174">
        <v>0.75</v>
      </c>
      <c r="C262" s="183">
        <v>0.3783783783783784</v>
      </c>
      <c r="D262" s="176">
        <v>69333333.333333328</v>
      </c>
      <c r="E262" s="26">
        <f>VLOOKUP(2064,季財報!$A:$H,8,0)</f>
        <v>2</v>
      </c>
      <c r="F262" s="183">
        <v>2.0416666666666708E-3</v>
      </c>
      <c r="G262" s="176">
        <v>1178666666.6666665</v>
      </c>
      <c r="H262" s="176">
        <v>2410351000</v>
      </c>
      <c r="I262" s="174">
        <v>0.48900208586494937</v>
      </c>
      <c r="J262" s="176">
        <v>14.976190476190476</v>
      </c>
    </row>
    <row r="263" spans="1:10">
      <c r="A263" s="65">
        <v>2066</v>
      </c>
      <c r="B263" s="174">
        <v>2.62</v>
      </c>
      <c r="C263" s="183">
        <v>0.64539007092198586</v>
      </c>
      <c r="D263" s="176">
        <v>35877862.595419846</v>
      </c>
      <c r="E263" s="26">
        <f>VLOOKUP(2066,季財報!$A:$H,8,0)</f>
        <v>3</v>
      </c>
      <c r="F263" s="183">
        <v>2.2633333333333335E-2</v>
      </c>
      <c r="G263" s="176">
        <v>4269465648.8549619</v>
      </c>
      <c r="H263" s="176">
        <v>1312249000</v>
      </c>
      <c r="I263" s="174">
        <v>3.2535484110522943</v>
      </c>
      <c r="J263" s="176">
        <v>17.593951849677037</v>
      </c>
    </row>
    <row r="264" spans="1:10">
      <c r="A264" s="65">
        <v>2067</v>
      </c>
      <c r="B264" s="174">
        <v>-0.25</v>
      </c>
      <c r="C264" s="183">
        <v>1</v>
      </c>
      <c r="D264" s="176">
        <v>32000000</v>
      </c>
      <c r="E264" s="26">
        <f>VLOOKUP(2067,季財報!$A:$H,8,0)</f>
        <v>2</v>
      </c>
      <c r="F264" s="183">
        <v>-4.7750000000000023E-3</v>
      </c>
      <c r="G264" s="176">
        <v>475200000</v>
      </c>
      <c r="H264" s="176">
        <v>848807000</v>
      </c>
      <c r="I264" s="174">
        <v>0.55984458186607788</v>
      </c>
      <c r="J264" s="176">
        <v>0</v>
      </c>
    </row>
    <row r="265" spans="1:10">
      <c r="A265" s="65">
        <v>2101</v>
      </c>
      <c r="B265" s="174">
        <v>0.28000000000000003</v>
      </c>
      <c r="C265" s="183">
        <v>0.73616236162361626</v>
      </c>
      <c r="D265" s="176">
        <v>821428571.42857134</v>
      </c>
      <c r="E265" s="26">
        <f>VLOOKUP(2101,季財報!$A:$H,8,0)</f>
        <v>2</v>
      </c>
      <c r="F265" s="183">
        <v>3.3583333333333369E-3</v>
      </c>
      <c r="G265" s="176">
        <v>23328571428.571426</v>
      </c>
      <c r="H265" s="176">
        <v>10988802000</v>
      </c>
      <c r="I265" s="174">
        <v>2.1229403740800339</v>
      </c>
      <c r="J265" s="176">
        <v>34.445041174364476</v>
      </c>
    </row>
    <row r="266" spans="1:10">
      <c r="A266" s="65">
        <v>2102</v>
      </c>
      <c r="B266" s="174">
        <v>0.47</v>
      </c>
      <c r="C266" s="183">
        <v>0.88130563798219586</v>
      </c>
      <c r="D266" s="176">
        <v>455319148.93617022</v>
      </c>
      <c r="E266" s="26">
        <f>VLOOKUP(2102,季財報!$A:$H,8,0)</f>
        <v>3</v>
      </c>
      <c r="F266" s="183">
        <v>2.1125000000000001E-2</v>
      </c>
      <c r="G266" s="176">
        <v>6898085106.3829794</v>
      </c>
      <c r="H266" s="176">
        <v>7692990000</v>
      </c>
      <c r="I266" s="174">
        <v>0.89667152906515923</v>
      </c>
      <c r="J266" s="176">
        <v>9.1438319363851299</v>
      </c>
    </row>
    <row r="267" spans="1:10">
      <c r="A267" s="65">
        <v>2103</v>
      </c>
      <c r="B267" s="174">
        <v>-0.09</v>
      </c>
      <c r="C267" s="183">
        <v>1</v>
      </c>
      <c r="D267" s="176">
        <v>866666666.66666675</v>
      </c>
      <c r="E267" s="26">
        <f>VLOOKUP(2103,季財報!$A:$H,8,0)</f>
        <v>0</v>
      </c>
      <c r="F267" s="183">
        <v>-1.2641666666666667E-2</v>
      </c>
      <c r="G267" s="176">
        <v>19023333333.333336</v>
      </c>
      <c r="H267" s="176">
        <v>27111246000</v>
      </c>
      <c r="I267" s="174">
        <v>0.70167683673901726</v>
      </c>
      <c r="J267" s="176">
        <v>0</v>
      </c>
    </row>
    <row r="268" spans="1:10">
      <c r="A268" s="65">
        <v>2104</v>
      </c>
      <c r="B268" s="174">
        <v>0.57999999999999996</v>
      </c>
      <c r="C268" s="183">
        <v>0.9452054794520548</v>
      </c>
      <c r="D268" s="176">
        <v>582758620.68965518</v>
      </c>
      <c r="E268" s="26">
        <f>VLOOKUP(2104,季財報!$A:$H,8,0)</f>
        <v>1</v>
      </c>
      <c r="F268" s="183">
        <v>-2.4966666666666668E-2</v>
      </c>
      <c r="G268" s="176">
        <v>14685517241.379311</v>
      </c>
      <c r="H268" s="176">
        <v>17671816000</v>
      </c>
      <c r="I268" s="174">
        <v>0.83101347599925846</v>
      </c>
      <c r="J268" s="176">
        <v>11.491754122938531</v>
      </c>
    </row>
    <row r="269" spans="1:10">
      <c r="A269" s="65">
        <v>2105</v>
      </c>
      <c r="B269" s="174">
        <v>0.94</v>
      </c>
      <c r="C269" s="183">
        <v>1</v>
      </c>
      <c r="D269" s="176">
        <v>3244680851.0638299</v>
      </c>
      <c r="E269" s="26">
        <f>VLOOKUP(2105,季財報!$A:$H,8,0)</f>
        <v>1</v>
      </c>
      <c r="F269" s="183">
        <v>4.2999999999999983E-3</v>
      </c>
      <c r="G269" s="176">
        <v>183000000000</v>
      </c>
      <c r="H269" s="176">
        <v>118680817000</v>
      </c>
      <c r="I269" s="174">
        <v>1.5419509624710452</v>
      </c>
      <c r="J269" s="176">
        <v>15</v>
      </c>
    </row>
    <row r="270" spans="1:10">
      <c r="A270" s="65">
        <v>2106</v>
      </c>
      <c r="B270" s="174">
        <v>1.48</v>
      </c>
      <c r="C270" s="183">
        <v>0.76690307328605201</v>
      </c>
      <c r="D270" s="176">
        <v>858783783.78378379</v>
      </c>
      <c r="E270" s="26">
        <f>VLOOKUP(2106,季財報!$A:$H,8,0)</f>
        <v>3</v>
      </c>
      <c r="F270" s="183">
        <v>1.2100000000000005E-2</v>
      </c>
      <c r="G270" s="176">
        <v>44570878378.37838</v>
      </c>
      <c r="H270" s="176">
        <v>31769686000</v>
      </c>
      <c r="I270" s="174">
        <v>1.4029373276896215</v>
      </c>
      <c r="J270" s="176">
        <v>11.431551388009463</v>
      </c>
    </row>
    <row r="271" spans="1:10">
      <c r="A271" s="65">
        <v>2107</v>
      </c>
      <c r="B271" s="174">
        <v>0.51</v>
      </c>
      <c r="C271" s="183">
        <v>9.7560975609756101E-2</v>
      </c>
      <c r="D271" s="176">
        <v>500000000</v>
      </c>
      <c r="E271" s="26">
        <f>VLOOKUP(2107,季財報!$A:$H,8,0)</f>
        <v>2</v>
      </c>
      <c r="F271" s="183">
        <v>0.41573333333333329</v>
      </c>
      <c r="G271" s="176">
        <v>8950000000</v>
      </c>
      <c r="H271" s="176">
        <v>2485942000</v>
      </c>
      <c r="I271" s="174">
        <v>3.6002448971054033</v>
      </c>
      <c r="J271" s="176">
        <v>50</v>
      </c>
    </row>
    <row r="272" spans="1:10">
      <c r="A272" s="65">
        <v>2108</v>
      </c>
      <c r="B272" s="174">
        <v>0.82</v>
      </c>
      <c r="C272" s="183">
        <v>0.86102719033232633</v>
      </c>
      <c r="D272" s="176">
        <v>424390243.90243906</v>
      </c>
      <c r="E272" s="26">
        <f>VLOOKUP(2108,季財報!$A:$H,8,0)</f>
        <v>3</v>
      </c>
      <c r="F272" s="183">
        <v>1.880833333333333E-2</v>
      </c>
      <c r="G272" s="176">
        <v>11882926829.268293</v>
      </c>
      <c r="H272" s="176">
        <v>9654156000</v>
      </c>
      <c r="I272" s="174">
        <v>1.2308612818425861</v>
      </c>
      <c r="J272" s="176">
        <v>9.9144201968335466</v>
      </c>
    </row>
    <row r="273" spans="1:10">
      <c r="A273" s="65">
        <v>2109</v>
      </c>
      <c r="B273" s="174">
        <v>0.02</v>
      </c>
      <c r="C273" s="183">
        <v>1</v>
      </c>
      <c r="D273" s="176">
        <v>350000000</v>
      </c>
      <c r="E273" s="26">
        <f>VLOOKUP(2109,季財報!$A:$H,8,0)</f>
        <v>1</v>
      </c>
      <c r="F273" s="183">
        <v>-5.266666666666666E-3</v>
      </c>
      <c r="G273" s="176">
        <v>4305000000</v>
      </c>
      <c r="H273" s="176">
        <v>6689692000</v>
      </c>
      <c r="I273" s="174">
        <v>0.64352738511728191</v>
      </c>
      <c r="J273" s="176">
        <v>50</v>
      </c>
    </row>
    <row r="274" spans="1:10">
      <c r="A274" s="65">
        <v>2114</v>
      </c>
      <c r="B274" s="174">
        <v>2.17</v>
      </c>
      <c r="C274" s="183">
        <v>0.76724137931034486</v>
      </c>
      <c r="D274" s="176">
        <v>67281105.990783408</v>
      </c>
      <c r="E274" s="26">
        <f>VLOOKUP(2114,季財報!$A:$H,8,0)</f>
        <v>4</v>
      </c>
      <c r="F274" s="183">
        <v>-2.3758333333333336E-2</v>
      </c>
      <c r="G274" s="176">
        <v>5234470046.0829487</v>
      </c>
      <c r="H274" s="176">
        <v>1948652000</v>
      </c>
      <c r="I274" s="174">
        <v>2.6862005355922705</v>
      </c>
      <c r="J274" s="176">
        <v>11.682286542743229</v>
      </c>
    </row>
    <row r="275" spans="1:10">
      <c r="A275" s="65">
        <v>2115</v>
      </c>
      <c r="B275" s="174">
        <v>0.89</v>
      </c>
      <c r="C275" s="183">
        <v>0.81679389312977102</v>
      </c>
      <c r="D275" s="176">
        <v>74157303.370786518</v>
      </c>
      <c r="E275" s="26">
        <f>VLOOKUP(2115,季財報!$A:$H,8,0)</f>
        <v>3</v>
      </c>
      <c r="F275" s="183">
        <v>-5.4833333333333357E-3</v>
      </c>
      <c r="G275" s="176">
        <v>3322247191.0112357</v>
      </c>
      <c r="H275" s="176">
        <v>2533121000</v>
      </c>
      <c r="I275" s="174">
        <v>1.311523291232924</v>
      </c>
      <c r="J275" s="176">
        <v>15.406909587314919</v>
      </c>
    </row>
    <row r="276" spans="1:10">
      <c r="A276" s="65">
        <v>2201</v>
      </c>
      <c r="B276" s="174">
        <v>0.53</v>
      </c>
      <c r="C276" s="183">
        <v>1.0533707865168539E-2</v>
      </c>
      <c r="D276" s="176">
        <v>1466037735.8490565</v>
      </c>
      <c r="E276" s="26">
        <f>VLOOKUP(2201,季財報!$A:$H,8,0)</f>
        <v>1</v>
      </c>
      <c r="F276" s="183">
        <v>2.9325E-2</v>
      </c>
      <c r="G276" s="176">
        <v>48305943396.226418</v>
      </c>
      <c r="H276" s="176">
        <v>120064603000</v>
      </c>
      <c r="I276" s="174">
        <v>0.4023329290167762</v>
      </c>
      <c r="J276" s="176">
        <v>50</v>
      </c>
    </row>
    <row r="277" spans="1:10">
      <c r="A277" s="65">
        <v>2204</v>
      </c>
      <c r="B277" s="174">
        <v>0.51</v>
      </c>
      <c r="C277" s="183">
        <v>0.48193508879363134</v>
      </c>
      <c r="D277" s="176">
        <v>1372549019.6078432</v>
      </c>
      <c r="E277" s="26">
        <f>VLOOKUP(2204,季財報!$A:$H,8,0)</f>
        <v>3</v>
      </c>
      <c r="F277" s="183">
        <v>5.1875000000000004E-2</v>
      </c>
      <c r="G277" s="176">
        <v>29578431372.549023</v>
      </c>
      <c r="H277" s="176">
        <v>35908702000</v>
      </c>
      <c r="I277" s="174">
        <v>0.82371207326149032</v>
      </c>
      <c r="J277" s="176">
        <v>21.919394822732144</v>
      </c>
    </row>
    <row r="278" spans="1:10">
      <c r="A278" s="65">
        <v>2206</v>
      </c>
      <c r="B278" s="174">
        <v>3.44</v>
      </c>
      <c r="C278" s="183">
        <v>0</v>
      </c>
      <c r="D278" s="176">
        <v>889534883.72093022</v>
      </c>
      <c r="E278" s="26">
        <f>VLOOKUP(2206,季財報!$A:$H,8,0)</f>
        <v>2</v>
      </c>
      <c r="F278" s="183">
        <v>1.4683333333333338E-2</v>
      </c>
      <c r="G278" s="176">
        <v>19747674418.604649</v>
      </c>
      <c r="H278" s="176">
        <v>34800266000</v>
      </c>
      <c r="I278" s="174">
        <v>0.5674575711175498</v>
      </c>
      <c r="J278" s="176">
        <v>0</v>
      </c>
    </row>
    <row r="279" spans="1:10">
      <c r="A279" s="65">
        <v>2207</v>
      </c>
      <c r="B279" s="174">
        <v>4.05</v>
      </c>
      <c r="C279" s="183">
        <v>0.56524493243243246</v>
      </c>
      <c r="D279" s="176">
        <v>545925925.92592597</v>
      </c>
      <c r="E279" s="26">
        <f>VLOOKUP(2207,季財報!$A:$H,8,0)</f>
        <v>2</v>
      </c>
      <c r="F279" s="183">
        <v>3.9825000000000006E-2</v>
      </c>
      <c r="G279" s="176">
        <v>189709259259.25928</v>
      </c>
      <c r="H279" s="176">
        <v>161384898000</v>
      </c>
      <c r="I279" s="174">
        <v>1.1755081275278885</v>
      </c>
      <c r="J279" s="176">
        <v>37.949242979749762</v>
      </c>
    </row>
    <row r="280" spans="1:10">
      <c r="A280" s="65">
        <v>2208</v>
      </c>
      <c r="B280" s="174">
        <v>0.11</v>
      </c>
      <c r="C280" s="183">
        <v>0.56756756756756754</v>
      </c>
      <c r="D280" s="176">
        <v>745454545.4545455</v>
      </c>
      <c r="E280" s="26">
        <f>VLOOKUP(2208,季財報!$A:$H,8,0)</f>
        <v>4</v>
      </c>
      <c r="F280" s="183">
        <v>-1.8483333333333331E-2</v>
      </c>
      <c r="G280" s="176">
        <v>9690909090.9090919</v>
      </c>
      <c r="H280" s="176">
        <v>22502995000</v>
      </c>
      <c r="I280" s="174">
        <v>0.43064974644082232</v>
      </c>
      <c r="J280" s="176">
        <v>50</v>
      </c>
    </row>
    <row r="281" spans="1:10">
      <c r="A281" s="65">
        <v>2221</v>
      </c>
      <c r="B281" s="174">
        <v>0.37</v>
      </c>
      <c r="C281" s="183">
        <v>1</v>
      </c>
      <c r="D281" s="176">
        <v>43243243.243243247</v>
      </c>
      <c r="E281" s="26">
        <f>VLOOKUP(2221,季財報!$A:$H,8,0)</f>
        <v>1</v>
      </c>
      <c r="F281" s="183">
        <v>0.1164</v>
      </c>
      <c r="G281" s="176">
        <v>838918918.91891897</v>
      </c>
      <c r="H281" s="176">
        <v>852229000</v>
      </c>
      <c r="I281" s="174">
        <v>0.98438203689257109</v>
      </c>
      <c r="J281" s="176">
        <v>13.108108108108107</v>
      </c>
    </row>
    <row r="282" spans="1:10">
      <c r="A282" s="65">
        <v>2227</v>
      </c>
      <c r="B282" s="174">
        <v>2.85</v>
      </c>
      <c r="C282" s="183">
        <v>9.5493083444890672E-2</v>
      </c>
      <c r="D282" s="176">
        <v>300000000</v>
      </c>
      <c r="E282" s="26">
        <f>VLOOKUP(2227,季財報!$A:$H,8,0)</f>
        <v>0</v>
      </c>
      <c r="F282" s="183">
        <v>6.9583333333333344E-2</v>
      </c>
      <c r="G282" s="176">
        <v>78450000000</v>
      </c>
      <c r="H282" s="176">
        <v>33303178000</v>
      </c>
      <c r="I282" s="174">
        <v>2.3556310451813336</v>
      </c>
      <c r="J282" s="176">
        <v>50</v>
      </c>
    </row>
    <row r="283" spans="1:10">
      <c r="A283" s="65">
        <v>2228</v>
      </c>
      <c r="B283" s="174">
        <v>2.7</v>
      </c>
      <c r="C283" s="183">
        <v>0.75570032573289903</v>
      </c>
      <c r="D283" s="176">
        <v>71851851.851851851</v>
      </c>
      <c r="E283" s="26">
        <f>VLOOKUP(2228,季財報!$A:$H,8,0)</f>
        <v>4</v>
      </c>
      <c r="F283" s="183">
        <v>2.1725000000000005E-2</v>
      </c>
      <c r="G283" s="176">
        <v>11496296296.296295</v>
      </c>
      <c r="H283" s="176">
        <v>3823998000</v>
      </c>
      <c r="I283" s="174">
        <v>3.0063552063302059</v>
      </c>
      <c r="J283" s="176">
        <v>19.604086845466156</v>
      </c>
    </row>
    <row r="284" spans="1:10">
      <c r="A284" s="65">
        <v>2230</v>
      </c>
      <c r="B284" s="174">
        <v>0.28999999999999998</v>
      </c>
      <c r="C284" s="183">
        <v>0</v>
      </c>
      <c r="D284" s="176">
        <v>0</v>
      </c>
      <c r="E284" s="26">
        <f>VLOOKUP(2230,季財報!$A:$H,8,0)</f>
        <v>1</v>
      </c>
      <c r="F284" s="183">
        <v>-1.0433333333333341E-2</v>
      </c>
      <c r="G284" s="176">
        <v>0</v>
      </c>
      <c r="H284" s="176">
        <v>367383000</v>
      </c>
      <c r="I284" s="174">
        <v>0</v>
      </c>
      <c r="J284" s="176">
        <v>0</v>
      </c>
    </row>
    <row r="285" spans="1:10">
      <c r="A285" s="65">
        <v>2231</v>
      </c>
      <c r="B285" s="174">
        <v>4.63</v>
      </c>
      <c r="C285" s="183">
        <v>0.88907849829351537</v>
      </c>
      <c r="D285" s="176">
        <v>72570194.384449244</v>
      </c>
      <c r="E285" s="26">
        <f>VLOOKUP(2231,季財報!$A:$H,8,0)</f>
        <v>4</v>
      </c>
      <c r="F285" s="183">
        <v>9.0833333333333272E-4</v>
      </c>
      <c r="G285" s="176">
        <v>28229805615.550755</v>
      </c>
      <c r="H285" s="176">
        <v>2736405000</v>
      </c>
      <c r="I285" s="174">
        <v>10</v>
      </c>
      <c r="J285" s="176">
        <v>23.62482018712975</v>
      </c>
    </row>
    <row r="286" spans="1:10">
      <c r="A286" s="65">
        <v>2233</v>
      </c>
      <c r="B286" s="174">
        <v>1.23</v>
      </c>
      <c r="C286" s="183">
        <v>0.85123966942148765</v>
      </c>
      <c r="D286" s="176">
        <v>48780487.804878049</v>
      </c>
      <c r="E286" s="26">
        <f>VLOOKUP(2233,季財報!$A:$H,8,0)</f>
        <v>1</v>
      </c>
      <c r="F286" s="183">
        <v>2.8966666666666668E-2</v>
      </c>
      <c r="G286" s="176">
        <v>3843902439.0243902</v>
      </c>
      <c r="H286" s="176">
        <v>1933706000</v>
      </c>
      <c r="I286" s="174">
        <v>1.9878422257697863</v>
      </c>
      <c r="J286" s="176">
        <v>18.815218249269869</v>
      </c>
    </row>
    <row r="287" spans="1:10">
      <c r="A287" s="65">
        <v>2235</v>
      </c>
      <c r="B287" s="174">
        <v>2.02</v>
      </c>
      <c r="C287" s="183">
        <v>0.79090909090909089</v>
      </c>
      <c r="D287" s="176">
        <v>32178217.821782179</v>
      </c>
      <c r="E287" s="26">
        <f>VLOOKUP(2235,季財報!$A:$H,8,0)</f>
        <v>3</v>
      </c>
      <c r="F287" s="183">
        <v>2.3199999999999998E-2</v>
      </c>
      <c r="G287" s="176">
        <v>4456683168.3168316</v>
      </c>
      <c r="H287" s="176">
        <v>873160000</v>
      </c>
      <c r="I287" s="174">
        <v>5.1040853547079932</v>
      </c>
      <c r="J287" s="176">
        <v>21.672641402071243</v>
      </c>
    </row>
    <row r="288" spans="1:10">
      <c r="A288" s="65">
        <v>2236</v>
      </c>
      <c r="B288" s="174">
        <v>0.9</v>
      </c>
      <c r="C288" s="183">
        <v>0.65625</v>
      </c>
      <c r="D288" s="176">
        <v>33333333.333333332</v>
      </c>
      <c r="E288" s="26">
        <f>VLOOKUP(2236,季財報!$A:$H,8,0)</f>
        <v>1</v>
      </c>
      <c r="F288" s="183">
        <v>-8.7258333333333327E-2</v>
      </c>
      <c r="G288" s="176">
        <v>1286666666.6666667</v>
      </c>
      <c r="H288" s="176">
        <v>881470000</v>
      </c>
      <c r="I288" s="174">
        <v>1.4596828782223634</v>
      </c>
      <c r="J288" s="176">
        <v>16.338624338624339</v>
      </c>
    </row>
    <row r="289" spans="1:10">
      <c r="A289" s="65">
        <v>2301</v>
      </c>
      <c r="B289" s="174">
        <v>0.71</v>
      </c>
      <c r="C289" s="183">
        <v>0.86449511400651469</v>
      </c>
      <c r="D289" s="176">
        <v>2308450704.2253523</v>
      </c>
      <c r="E289" s="26">
        <f>VLOOKUP(2301,季財報!$A:$H,8,0)</f>
        <v>3</v>
      </c>
      <c r="F289" s="183">
        <v>7.2250000000000014E-3</v>
      </c>
      <c r="G289" s="176">
        <v>81142042253.521133</v>
      </c>
      <c r="H289" s="176">
        <v>219367979000</v>
      </c>
      <c r="I289" s="174">
        <v>0.36989009345580531</v>
      </c>
      <c r="J289" s="176">
        <v>14.316750161860387</v>
      </c>
    </row>
    <row r="290" spans="1:10">
      <c r="A290" s="65">
        <v>2302</v>
      </c>
      <c r="B290" s="174">
        <v>0.11</v>
      </c>
      <c r="C290" s="183">
        <v>0</v>
      </c>
      <c r="D290" s="176">
        <v>0</v>
      </c>
      <c r="E290" s="26">
        <f>VLOOKUP(2302,季財報!$A:$H,8,0)</f>
        <v>2</v>
      </c>
      <c r="F290" s="183">
        <v>2.0600000000000004E-2</v>
      </c>
      <c r="G290" s="176">
        <v>0</v>
      </c>
      <c r="H290" s="176">
        <v>514062000</v>
      </c>
      <c r="I290" s="174">
        <v>0</v>
      </c>
      <c r="J290" s="176">
        <v>0</v>
      </c>
    </row>
    <row r="291" spans="1:10">
      <c r="A291" s="65">
        <v>2303</v>
      </c>
      <c r="B291" s="174">
        <v>0.13</v>
      </c>
      <c r="C291" s="183">
        <v>0.7281230183893469</v>
      </c>
      <c r="D291" s="176">
        <v>13138461538.461538</v>
      </c>
      <c r="E291" s="26">
        <f>VLOOKUP(2303,季財報!$A:$H,8,0)</f>
        <v>2</v>
      </c>
      <c r="F291" s="183">
        <v>-5.5583333333333344E-3</v>
      </c>
      <c r="G291" s="176">
        <v>162916923076.92307</v>
      </c>
      <c r="H291" s="176">
        <v>146779641000</v>
      </c>
      <c r="I291" s="174">
        <v>1.1099422369954091</v>
      </c>
      <c r="J291" s="176">
        <v>32.750171665913008</v>
      </c>
    </row>
    <row r="292" spans="1:10">
      <c r="A292" s="65">
        <v>2305</v>
      </c>
      <c r="B292" s="174">
        <v>-0.14000000000000001</v>
      </c>
      <c r="C292" s="183">
        <v>1</v>
      </c>
      <c r="D292" s="176">
        <v>207142857.14285713</v>
      </c>
      <c r="E292" s="26">
        <f>VLOOKUP(2305,季財報!$A:$H,8,0)</f>
        <v>1</v>
      </c>
      <c r="F292" s="183">
        <v>7.0666666666666669E-2</v>
      </c>
      <c r="G292" s="176">
        <v>1251142857.1428571</v>
      </c>
      <c r="H292" s="176">
        <v>818403000</v>
      </c>
      <c r="I292" s="174">
        <v>1.5287613280289258</v>
      </c>
      <c r="J292" s="176">
        <v>0</v>
      </c>
    </row>
    <row r="293" spans="1:10">
      <c r="A293" s="65">
        <v>2308</v>
      </c>
      <c r="B293" s="174">
        <v>2.42</v>
      </c>
      <c r="C293" s="183">
        <v>0.76958002270147563</v>
      </c>
      <c r="D293" s="176">
        <v>2436363636.3636365</v>
      </c>
      <c r="E293" s="26">
        <f>VLOOKUP(2308,季財報!$A:$H,8,0)</f>
        <v>4</v>
      </c>
      <c r="F293" s="183">
        <v>1.9491666666666674E-2</v>
      </c>
      <c r="G293" s="176">
        <v>386163636363.63641</v>
      </c>
      <c r="H293" s="176">
        <v>199766112000</v>
      </c>
      <c r="I293" s="174">
        <v>1.9330788014917986</v>
      </c>
      <c r="J293" s="176">
        <v>21.276496867305394</v>
      </c>
    </row>
    <row r="294" spans="1:10">
      <c r="A294" s="65">
        <v>2311</v>
      </c>
      <c r="B294" s="174">
        <v>0.83</v>
      </c>
      <c r="C294" s="183">
        <v>0.85838323353293411</v>
      </c>
      <c r="D294" s="176">
        <v>7673493975.903615</v>
      </c>
      <c r="E294" s="26">
        <f>VLOOKUP(2311,季財報!$A:$H,8,0)</f>
        <v>2</v>
      </c>
      <c r="F294" s="183">
        <v>1.0058333333333339E-2</v>
      </c>
      <c r="G294" s="176">
        <v>277396807228.91565</v>
      </c>
      <c r="H294" s="176">
        <v>285629325000</v>
      </c>
      <c r="I294" s="174">
        <v>0.97117761710537132</v>
      </c>
      <c r="J294" s="176">
        <v>12.684956778631792</v>
      </c>
    </row>
    <row r="295" spans="1:10">
      <c r="A295" s="65">
        <v>2312</v>
      </c>
      <c r="B295" s="174">
        <v>0.11</v>
      </c>
      <c r="C295" s="183">
        <v>3.6486486486486489E-2</v>
      </c>
      <c r="D295" s="176">
        <v>1445454545.4545455</v>
      </c>
      <c r="E295" s="26">
        <f>VLOOKUP(2312,季財報!$A:$H,8,0)</f>
        <v>1</v>
      </c>
      <c r="F295" s="183">
        <v>-4.9141666666666667E-2</v>
      </c>
      <c r="G295" s="176">
        <v>14165454545.454546</v>
      </c>
      <c r="H295" s="176">
        <v>48203089000</v>
      </c>
      <c r="I295" s="174">
        <v>0.29387026514949166</v>
      </c>
      <c r="J295" s="176">
        <v>50</v>
      </c>
    </row>
    <row r="296" spans="1:10">
      <c r="A296" s="65">
        <v>2313</v>
      </c>
      <c r="B296" s="174">
        <v>0.8</v>
      </c>
      <c r="C296" s="183">
        <v>1</v>
      </c>
      <c r="D296" s="176">
        <v>1192500000</v>
      </c>
      <c r="E296" s="26">
        <f>VLOOKUP(2313,季財報!$A:$H,8,0)</f>
        <v>6</v>
      </c>
      <c r="F296" s="183">
        <v>3.6741666666666666E-2</v>
      </c>
      <c r="G296" s="176">
        <v>25996500000</v>
      </c>
      <c r="H296" s="176">
        <v>42216798000</v>
      </c>
      <c r="I296" s="174">
        <v>0.61578568796240774</v>
      </c>
      <c r="J296" s="176">
        <v>6.8125</v>
      </c>
    </row>
    <row r="297" spans="1:10">
      <c r="A297" s="65">
        <v>2314</v>
      </c>
      <c r="B297" s="174">
        <v>0.36</v>
      </c>
      <c r="C297" s="183">
        <v>0</v>
      </c>
      <c r="D297" s="176">
        <v>402777777.77777779</v>
      </c>
      <c r="E297" s="26">
        <f>VLOOKUP(2314,季財報!$A:$H,8,0)</f>
        <v>4</v>
      </c>
      <c r="F297" s="183">
        <v>8.5583333333333275E-3</v>
      </c>
      <c r="G297" s="176">
        <v>3455833333.3333335</v>
      </c>
      <c r="H297" s="176">
        <v>6018047000</v>
      </c>
      <c r="I297" s="174">
        <v>0.57424498900279997</v>
      </c>
      <c r="J297" s="176">
        <v>0</v>
      </c>
    </row>
    <row r="298" spans="1:10">
      <c r="A298" s="65">
        <v>2316</v>
      </c>
      <c r="B298" s="174">
        <v>1.06</v>
      </c>
      <c r="C298" s="183">
        <v>0</v>
      </c>
      <c r="D298" s="176">
        <v>316981132.0754717</v>
      </c>
      <c r="E298" s="26">
        <f>VLOOKUP(2316,季財報!$A:$H,8,0)</f>
        <v>2</v>
      </c>
      <c r="F298" s="183">
        <v>-3.6516666666666663E-2</v>
      </c>
      <c r="G298" s="176">
        <v>8796226415.0943394</v>
      </c>
      <c r="H298" s="176">
        <v>6532834000</v>
      </c>
      <c r="I298" s="174">
        <v>1.3464640943110355</v>
      </c>
      <c r="J298" s="176">
        <v>0</v>
      </c>
    </row>
    <row r="299" spans="1:10">
      <c r="A299" s="65">
        <v>2317</v>
      </c>
      <c r="B299" s="174">
        <v>2.42</v>
      </c>
      <c r="C299" s="183">
        <v>0.73099074715175927</v>
      </c>
      <c r="D299" s="176">
        <v>15643801652.892563</v>
      </c>
      <c r="E299" s="26">
        <f>VLOOKUP(2317,季財報!$A:$H,8,0)</f>
        <v>1</v>
      </c>
      <c r="F299" s="183">
        <v>2.6608333333333345E-2</v>
      </c>
      <c r="G299" s="176">
        <v>1337545041322.3142</v>
      </c>
      <c r="H299" s="176">
        <v>4586284270000</v>
      </c>
      <c r="I299" s="174">
        <v>0.29164023915209997</v>
      </c>
      <c r="J299" s="176">
        <v>12.08311413313341</v>
      </c>
    </row>
    <row r="300" spans="1:10">
      <c r="A300" s="65">
        <v>2321</v>
      </c>
      <c r="B300" s="174">
        <v>-0.06</v>
      </c>
      <c r="C300" s="183">
        <v>1</v>
      </c>
      <c r="D300" s="176">
        <v>283333333.33333337</v>
      </c>
      <c r="E300" s="26">
        <f>VLOOKUP(2321,季財報!$A:$H,8,0)</f>
        <v>2</v>
      </c>
      <c r="F300" s="183">
        <v>2.4091666666666667E-2</v>
      </c>
      <c r="G300" s="176">
        <v>614833333.33333337</v>
      </c>
      <c r="H300" s="176">
        <v>4155645000</v>
      </c>
      <c r="I300" s="174">
        <v>0.14795136093995839</v>
      </c>
      <c r="J300" s="176">
        <v>0</v>
      </c>
    </row>
    <row r="301" spans="1:10">
      <c r="A301" s="65">
        <v>2323</v>
      </c>
      <c r="B301" s="174">
        <v>-0.26</v>
      </c>
      <c r="C301" s="183">
        <v>1</v>
      </c>
      <c r="D301" s="176">
        <v>2088461538.4615383</v>
      </c>
      <c r="E301" s="26">
        <f>VLOOKUP(2323,季財報!$A:$H,8,0)</f>
        <v>0</v>
      </c>
      <c r="F301" s="183">
        <v>-3.4991666666666678E-2</v>
      </c>
      <c r="G301" s="176">
        <v>7414038461.5384607</v>
      </c>
      <c r="H301" s="176">
        <v>13779520000</v>
      </c>
      <c r="I301" s="174">
        <v>0.53804765779493491</v>
      </c>
      <c r="J301" s="176">
        <v>0</v>
      </c>
    </row>
    <row r="302" spans="1:10">
      <c r="A302" s="65">
        <v>2324</v>
      </c>
      <c r="B302" s="174">
        <v>0.67</v>
      </c>
      <c r="C302" s="183">
        <v>0.73856655290102391</v>
      </c>
      <c r="D302" s="176">
        <v>4311940298.5074625</v>
      </c>
      <c r="E302" s="26">
        <f>VLOOKUP(2324,季財報!$A:$H,8,0)</f>
        <v>2</v>
      </c>
      <c r="F302" s="183">
        <v>1.106666666666666E-2</v>
      </c>
      <c r="G302" s="176">
        <v>79770895522.388062</v>
      </c>
      <c r="H302" s="176">
        <v>851525880000</v>
      </c>
      <c r="I302" s="174">
        <v>9.3679942554873455E-2</v>
      </c>
      <c r="J302" s="176">
        <v>9.3464631555714952</v>
      </c>
    </row>
    <row r="303" spans="1:10">
      <c r="A303" s="65">
        <v>2325</v>
      </c>
      <c r="B303" s="174">
        <v>0.86</v>
      </c>
      <c r="C303" s="183">
        <v>0.86491586727472869</v>
      </c>
      <c r="D303" s="176">
        <v>3118604651.1627908</v>
      </c>
      <c r="E303" s="26">
        <f>VLOOKUP(2325,季財報!$A:$H,8,0)</f>
        <v>1</v>
      </c>
      <c r="F303" s="183">
        <v>-1.4833333333333341E-3</v>
      </c>
      <c r="G303" s="176">
        <v>139089767441.86047</v>
      </c>
      <c r="H303" s="176">
        <v>83190005000</v>
      </c>
      <c r="I303" s="174">
        <v>1.6719528679179725</v>
      </c>
      <c r="J303" s="176">
        <v>14.990031712473574</v>
      </c>
    </row>
    <row r="304" spans="1:10">
      <c r="A304" s="65">
        <v>2327</v>
      </c>
      <c r="B304" s="174">
        <v>1.86</v>
      </c>
      <c r="C304" s="183">
        <v>0.61372950819672134</v>
      </c>
      <c r="D304" s="176">
        <v>660215053.76344085</v>
      </c>
      <c r="E304" s="26">
        <f>VLOOKUP(2327,季財報!$A:$H,8,0)</f>
        <v>3</v>
      </c>
      <c r="F304" s="183">
        <v>1.8808333333333337E-2</v>
      </c>
      <c r="G304" s="176">
        <v>34001075268.817204</v>
      </c>
      <c r="H304" s="176">
        <v>27336311000</v>
      </c>
      <c r="I304" s="174">
        <v>1.2438062790848847</v>
      </c>
      <c r="J304" s="176">
        <v>11.278654388137934</v>
      </c>
    </row>
    <row r="305" spans="1:10">
      <c r="A305" s="65">
        <v>2328</v>
      </c>
      <c r="B305" s="174">
        <v>0.63</v>
      </c>
      <c r="C305" s="183">
        <v>0.27374301675977653</v>
      </c>
      <c r="D305" s="176">
        <v>504761904.76190478</v>
      </c>
      <c r="E305" s="26">
        <f>VLOOKUP(2328,季財報!$A:$H,8,0)</f>
        <v>2</v>
      </c>
      <c r="F305" s="183">
        <v>4.965E-2</v>
      </c>
      <c r="G305" s="176">
        <v>7369523809.5238094</v>
      </c>
      <c r="H305" s="176">
        <v>18820078000</v>
      </c>
      <c r="I305" s="174">
        <v>0.39157775060888744</v>
      </c>
      <c r="J305" s="176">
        <v>21.164561062520246</v>
      </c>
    </row>
    <row r="306" spans="1:10">
      <c r="A306" s="65">
        <v>2329</v>
      </c>
      <c r="B306" s="174">
        <v>0.26</v>
      </c>
      <c r="C306" s="183">
        <v>1</v>
      </c>
      <c r="D306" s="176">
        <v>815384615.3846153</v>
      </c>
      <c r="E306" s="26">
        <f>VLOOKUP(2329,季財報!$A:$H,8,0)</f>
        <v>2</v>
      </c>
      <c r="F306" s="183">
        <v>1.4533333333333334E-2</v>
      </c>
      <c r="G306" s="176">
        <v>9662307692.3076916</v>
      </c>
      <c r="H306" s="176">
        <v>15743777000</v>
      </c>
      <c r="I306" s="174">
        <v>0.61372234199631326</v>
      </c>
      <c r="J306" s="176">
        <v>11.394230769230768</v>
      </c>
    </row>
    <row r="307" spans="1:10">
      <c r="A307" s="65">
        <v>2330</v>
      </c>
      <c r="B307" s="174">
        <v>2.91</v>
      </c>
      <c r="C307" s="183">
        <v>0.83154439181373463</v>
      </c>
      <c r="D307" s="176">
        <v>25886254295.532646</v>
      </c>
      <c r="E307" s="26">
        <f>VLOOKUP(2330,季財報!$A:$H,8,0)</f>
        <v>2</v>
      </c>
      <c r="F307" s="183">
        <v>1.8250000000000006E-2</v>
      </c>
      <c r="G307" s="176">
        <v>3649961855670.103</v>
      </c>
      <c r="H307" s="176">
        <v>863506922000</v>
      </c>
      <c r="I307" s="174">
        <v>4.2269051500088644</v>
      </c>
      <c r="J307" s="176">
        <v>14.567354648901368</v>
      </c>
    </row>
    <row r="308" spans="1:10">
      <c r="A308" s="65">
        <v>2331</v>
      </c>
      <c r="B308" s="174">
        <v>0.85</v>
      </c>
      <c r="C308" s="183">
        <v>0.73248407643312097</v>
      </c>
      <c r="D308" s="176">
        <v>555294117.64705884</v>
      </c>
      <c r="E308" s="26">
        <f>VLOOKUP(2331,季財報!$A:$H,8,0)</f>
        <v>4</v>
      </c>
      <c r="F308" s="183">
        <v>7.4766666666666676E-2</v>
      </c>
      <c r="G308" s="176">
        <v>12632941176.470589</v>
      </c>
      <c r="H308" s="176">
        <v>53248245000</v>
      </c>
      <c r="I308" s="174">
        <v>0.23724615105099875</v>
      </c>
      <c r="J308" s="176">
        <v>9.1349104859335046</v>
      </c>
    </row>
    <row r="309" spans="1:10">
      <c r="A309" s="65">
        <v>2332</v>
      </c>
      <c r="B309" s="174">
        <v>-0.81</v>
      </c>
      <c r="C309" s="183">
        <v>0.70606060606060606</v>
      </c>
      <c r="D309" s="176">
        <v>651851851.85185182</v>
      </c>
      <c r="E309" s="26">
        <f>VLOOKUP(2332,季財報!$A:$H,8,0)</f>
        <v>2</v>
      </c>
      <c r="F309" s="183">
        <v>-5.8583333333333343E-3</v>
      </c>
      <c r="G309" s="176">
        <v>6714074074.0740738</v>
      </c>
      <c r="H309" s="176">
        <v>27995011000</v>
      </c>
      <c r="I309" s="174">
        <v>0.23983109254981447</v>
      </c>
      <c r="J309" s="176">
        <v>0</v>
      </c>
    </row>
    <row r="310" spans="1:10">
      <c r="A310" s="65">
        <v>2337</v>
      </c>
      <c r="B310" s="174">
        <v>-0.27</v>
      </c>
      <c r="C310" s="183">
        <v>1</v>
      </c>
      <c r="D310" s="176">
        <v>3514814814.8148146</v>
      </c>
      <c r="E310" s="26">
        <f>VLOOKUP(2337,季財報!$A:$H,8,0)</f>
        <v>3</v>
      </c>
      <c r="F310" s="183">
        <v>-1.1824999999999997E-2</v>
      </c>
      <c r="G310" s="176">
        <v>16800814814.814814</v>
      </c>
      <c r="H310" s="176">
        <v>20826032000</v>
      </c>
      <c r="I310" s="174">
        <v>0.80672183807336961</v>
      </c>
      <c r="J310" s="176">
        <v>0</v>
      </c>
    </row>
    <row r="311" spans="1:10">
      <c r="A311" s="65">
        <v>2338</v>
      </c>
      <c r="B311" s="174">
        <v>0.15</v>
      </c>
      <c r="C311" s="183">
        <v>0.38095238095238093</v>
      </c>
      <c r="D311" s="176">
        <v>240000000</v>
      </c>
      <c r="E311" s="26">
        <f>VLOOKUP(2338,季財報!$A:$H,8,0)</f>
        <v>3</v>
      </c>
      <c r="F311" s="183">
        <v>1.4950000000000003E-2</v>
      </c>
      <c r="G311" s="176">
        <v>1848000000</v>
      </c>
      <c r="H311" s="176">
        <v>1512752000</v>
      </c>
      <c r="I311" s="174">
        <v>1.2216146466836599</v>
      </c>
      <c r="J311" s="176">
        <v>33.687500000000007</v>
      </c>
    </row>
    <row r="312" spans="1:10">
      <c r="A312" s="65">
        <v>2340</v>
      </c>
      <c r="B312" s="174">
        <v>0.28999999999999998</v>
      </c>
      <c r="C312" s="183">
        <v>0.71241830065359479</v>
      </c>
      <c r="D312" s="176">
        <v>548275862.06896555</v>
      </c>
      <c r="E312" s="26">
        <f>VLOOKUP(2340,季財報!$A:$H,8,0)</f>
        <v>3</v>
      </c>
      <c r="F312" s="183">
        <v>-4.8500000000000001E-3</v>
      </c>
      <c r="G312" s="176">
        <v>5674655172.4137936</v>
      </c>
      <c r="H312" s="176">
        <v>5624922000</v>
      </c>
      <c r="I312" s="174">
        <v>1.0088415754767432</v>
      </c>
      <c r="J312" s="176">
        <v>12.524122113255299</v>
      </c>
    </row>
    <row r="313" spans="1:10">
      <c r="A313" s="65">
        <v>2342</v>
      </c>
      <c r="B313" s="179">
        <v>-0.12</v>
      </c>
      <c r="C313" s="183">
        <v>0.75743707093821511</v>
      </c>
      <c r="D313" s="180">
        <v>375000000</v>
      </c>
      <c r="E313" s="26">
        <f>VLOOKUP(2342,季財報!$A:$H,8,0)</f>
        <v>1</v>
      </c>
      <c r="F313" s="183">
        <v>8.3833333333333346E-3</v>
      </c>
      <c r="G313" s="180">
        <v>945000000</v>
      </c>
      <c r="H313" s="180">
        <v>1372181000</v>
      </c>
      <c r="I313" s="179">
        <v>0.6886846560329869</v>
      </c>
      <c r="J313" s="180">
        <v>0</v>
      </c>
    </row>
    <row r="314" spans="1:10">
      <c r="A314" s="65">
        <v>2344</v>
      </c>
      <c r="B314" s="174">
        <v>0.18</v>
      </c>
      <c r="C314" s="183">
        <v>0.90434192672998648</v>
      </c>
      <c r="D314" s="176">
        <v>3738888888.8888888</v>
      </c>
      <c r="E314" s="26">
        <f>VLOOKUP(2344,季財報!$A:$H,8,0)</f>
        <v>1</v>
      </c>
      <c r="F314" s="183">
        <v>5.9916666666666668E-3</v>
      </c>
      <c r="G314" s="176">
        <v>29051166666.666664</v>
      </c>
      <c r="H314" s="176">
        <v>38256968000</v>
      </c>
      <c r="I314" s="174">
        <v>0.75936929101821826</v>
      </c>
      <c r="J314" s="176">
        <v>11.933170792698174</v>
      </c>
    </row>
    <row r="315" spans="1:10">
      <c r="A315" s="65">
        <v>2345</v>
      </c>
      <c r="B315" s="174">
        <v>0.71</v>
      </c>
      <c r="C315" s="183">
        <v>0.9173553719008265</v>
      </c>
      <c r="D315" s="176">
        <v>535211267.60563385</v>
      </c>
      <c r="E315" s="26">
        <f>VLOOKUP(2345,季財報!$A:$H,8,0)</f>
        <v>4</v>
      </c>
      <c r="F315" s="183">
        <v>3.1391666666666665E-2</v>
      </c>
      <c r="G315" s="176">
        <v>13407042253.521128</v>
      </c>
      <c r="H315" s="176">
        <v>24020020000</v>
      </c>
      <c r="I315" s="174">
        <v>0.55816116112813929</v>
      </c>
      <c r="J315" s="176">
        <v>9.6150551960411121</v>
      </c>
    </row>
    <row r="316" spans="1:10">
      <c r="A316" s="65">
        <v>2347</v>
      </c>
      <c r="B316" s="174">
        <v>0.19</v>
      </c>
      <c r="C316" s="183">
        <v>1</v>
      </c>
      <c r="D316" s="176">
        <v>1589473684.2105262</v>
      </c>
      <c r="E316" s="26">
        <f>VLOOKUP(2347,季財報!$A:$H,8,0)</f>
        <v>0</v>
      </c>
      <c r="F316" s="183">
        <v>2.9266666666666673E-2</v>
      </c>
      <c r="G316" s="176">
        <v>49671052631.578941</v>
      </c>
      <c r="H316" s="176">
        <v>316371540000</v>
      </c>
      <c r="I316" s="174">
        <v>0.15700227849691833</v>
      </c>
      <c r="J316" s="176">
        <v>41.118421052631575</v>
      </c>
    </row>
    <row r="317" spans="1:10">
      <c r="A317" s="65">
        <v>2348</v>
      </c>
      <c r="B317" s="174">
        <v>0.53</v>
      </c>
      <c r="C317" s="183">
        <v>1</v>
      </c>
      <c r="D317" s="176">
        <v>84905660.377358481</v>
      </c>
      <c r="E317" s="26">
        <f>VLOOKUP(2348,季財報!$A:$H,8,0)</f>
        <v>2</v>
      </c>
      <c r="F317" s="183">
        <v>1.4991666666666653E-2</v>
      </c>
      <c r="G317" s="176">
        <v>0</v>
      </c>
      <c r="H317" s="176">
        <v>1113136000</v>
      </c>
      <c r="I317" s="174">
        <v>0</v>
      </c>
      <c r="J317" s="176">
        <v>0</v>
      </c>
    </row>
    <row r="318" spans="1:10">
      <c r="A318" s="65">
        <v>2349</v>
      </c>
      <c r="B318" s="174">
        <v>-0.22</v>
      </c>
      <c r="C318" s="183">
        <v>1</v>
      </c>
      <c r="D318" s="176">
        <v>2668181818.181818</v>
      </c>
      <c r="E318" s="26">
        <f>VLOOKUP(2349,季財報!$A:$H,8,0)</f>
        <v>0</v>
      </c>
      <c r="F318" s="183">
        <v>-2.3616666666666664E-2</v>
      </c>
      <c r="G318" s="176">
        <v>7150727272.727273</v>
      </c>
      <c r="H318" s="176">
        <v>11213096000</v>
      </c>
      <c r="I318" s="174">
        <v>0.63771212453075166</v>
      </c>
      <c r="J318" s="176">
        <v>0</v>
      </c>
    </row>
    <row r="319" spans="1:10">
      <c r="A319" s="65">
        <v>2351</v>
      </c>
      <c r="B319" s="174">
        <v>1.0900000000000001</v>
      </c>
      <c r="C319" s="183">
        <v>0.87187499999999996</v>
      </c>
      <c r="D319" s="176">
        <v>182568807.33944952</v>
      </c>
      <c r="E319" s="26">
        <f>VLOOKUP(2351,季財報!$A:$H,8,0)</f>
        <v>2</v>
      </c>
      <c r="F319" s="183">
        <v>-1.394166666666667E-2</v>
      </c>
      <c r="G319" s="176">
        <v>5413165137.6146784</v>
      </c>
      <c r="H319" s="176">
        <v>8948629000</v>
      </c>
      <c r="I319" s="174">
        <v>0.60491558400897816</v>
      </c>
      <c r="J319" s="176">
        <v>7.7998092795370093</v>
      </c>
    </row>
    <row r="320" spans="1:10">
      <c r="A320" s="65">
        <v>2352</v>
      </c>
      <c r="B320" s="174">
        <v>0.28999999999999998</v>
      </c>
      <c r="C320" s="183">
        <v>0.44444444444444442</v>
      </c>
      <c r="D320" s="176">
        <v>1975862068.9655173</v>
      </c>
      <c r="E320" s="26">
        <f>VLOOKUP(2352,季財報!$A:$H,8,0)</f>
        <v>1</v>
      </c>
      <c r="F320" s="183">
        <v>7.7499999999999911E-4</v>
      </c>
      <c r="G320" s="176">
        <v>22030862068.965519</v>
      </c>
      <c r="H320" s="176">
        <v>133829016000</v>
      </c>
      <c r="I320" s="174">
        <v>0.16461947287250112</v>
      </c>
      <c r="J320" s="176">
        <v>21.627155172413794</v>
      </c>
    </row>
    <row r="321" spans="1:10">
      <c r="A321" s="65">
        <v>2353</v>
      </c>
      <c r="B321" s="174">
        <v>0.06</v>
      </c>
      <c r="C321" s="183">
        <v>8.8082901554404139E-2</v>
      </c>
      <c r="D321" s="176">
        <v>3183333333.3333335</v>
      </c>
      <c r="E321" s="26">
        <f>VLOOKUP(2353,季財報!$A:$H,8,0)</f>
        <v>1</v>
      </c>
      <c r="F321" s="183">
        <v>1.7333333333333329E-2</v>
      </c>
      <c r="G321" s="176">
        <v>38677500000</v>
      </c>
      <c r="H321" s="176">
        <v>274987400000</v>
      </c>
      <c r="I321" s="174">
        <v>0.14065189895973415</v>
      </c>
      <c r="J321" s="176">
        <v>50</v>
      </c>
    </row>
    <row r="322" spans="1:10">
      <c r="A322" s="65">
        <v>2354</v>
      </c>
      <c r="B322" s="174">
        <v>2.09</v>
      </c>
      <c r="C322" s="183">
        <v>0.80058550025830899</v>
      </c>
      <c r="D322" s="176">
        <v>1394736842.1052632</v>
      </c>
      <c r="E322" s="26">
        <f>VLOOKUP(2354,季財報!$A:$H,8,0)</f>
        <v>0</v>
      </c>
      <c r="F322" s="183">
        <v>2.4416666666666614E-3</v>
      </c>
      <c r="G322" s="176">
        <v>106418421052.63158</v>
      </c>
      <c r="H322" s="176">
        <v>110874267000</v>
      </c>
      <c r="I322" s="174">
        <v>0.95981172125928527</v>
      </c>
      <c r="J322" s="176">
        <v>11.40014933499101</v>
      </c>
    </row>
    <row r="323" spans="1:10">
      <c r="A323" s="65">
        <v>2355</v>
      </c>
      <c r="B323" s="174">
        <v>1.71</v>
      </c>
      <c r="C323" s="183">
        <v>0.65760322255790538</v>
      </c>
      <c r="D323" s="176">
        <v>397076023.39181286</v>
      </c>
      <c r="E323" s="26">
        <f>VLOOKUP(2355,季財報!$A:$H,8,0)</f>
        <v>3</v>
      </c>
      <c r="F323" s="183">
        <v>5.4249999999999993E-3</v>
      </c>
      <c r="G323" s="176">
        <v>19853801169.590645</v>
      </c>
      <c r="H323" s="176">
        <v>22396199000</v>
      </c>
      <c r="I323" s="174">
        <v>0.88648083407325706</v>
      </c>
      <c r="J323" s="176">
        <v>11.11603664597942</v>
      </c>
    </row>
    <row r="324" spans="1:10">
      <c r="A324" s="65">
        <v>2356</v>
      </c>
      <c r="B324" s="174">
        <v>0.54</v>
      </c>
      <c r="C324" s="183">
        <v>0.44555091551557985</v>
      </c>
      <c r="D324" s="176">
        <v>3598148148.1481481</v>
      </c>
      <c r="E324" s="26">
        <f>VLOOKUP(2356,季財報!$A:$H,8,0)</f>
        <v>4</v>
      </c>
      <c r="F324" s="183">
        <v>6.4583333333333376E-3</v>
      </c>
      <c r="G324" s="176">
        <v>65126481481.481483</v>
      </c>
      <c r="H324" s="176">
        <v>396505693000</v>
      </c>
      <c r="I324" s="174">
        <v>0.164251062799952</v>
      </c>
      <c r="J324" s="176">
        <v>18.807344655398008</v>
      </c>
    </row>
    <row r="325" spans="1:10">
      <c r="A325" s="65">
        <v>2357</v>
      </c>
      <c r="B325" s="174">
        <v>5.67</v>
      </c>
      <c r="C325" s="183">
        <v>0.84255606897328972</v>
      </c>
      <c r="D325" s="176">
        <v>743386243.38624334</v>
      </c>
      <c r="E325" s="26">
        <f>VLOOKUP(2357,季財報!$A:$H,8,0)</f>
        <v>0</v>
      </c>
      <c r="F325" s="183">
        <v>1.5249999999999945E-3</v>
      </c>
      <c r="G325" s="176">
        <v>204431216931.21692</v>
      </c>
      <c r="H325" s="176">
        <v>472219821000</v>
      </c>
      <c r="I325" s="174">
        <v>0.43291536661528007</v>
      </c>
      <c r="J325" s="176">
        <v>14.390995335573544</v>
      </c>
    </row>
    <row r="326" spans="1:10">
      <c r="A326" s="65">
        <v>2359</v>
      </c>
      <c r="B326" s="174">
        <v>0.6</v>
      </c>
      <c r="C326" s="183">
        <v>0.2231404958677686</v>
      </c>
      <c r="D326" s="176">
        <v>171666666.66666669</v>
      </c>
      <c r="E326" s="26">
        <f>VLOOKUP(2359,季財報!$A:$H,8,0)</f>
        <v>2</v>
      </c>
      <c r="F326" s="183">
        <v>-2.0683333333333331E-2</v>
      </c>
      <c r="G326" s="176">
        <v>2557833333.3333335</v>
      </c>
      <c r="H326" s="176">
        <v>4582768000</v>
      </c>
      <c r="I326" s="174">
        <v>0.55814157149856447</v>
      </c>
      <c r="J326" s="176">
        <v>27.822530864197528</v>
      </c>
    </row>
    <row r="327" spans="1:10">
      <c r="A327" s="65">
        <v>2360</v>
      </c>
      <c r="B327" s="174">
        <v>1.28</v>
      </c>
      <c r="C327" s="183">
        <v>0.72305909617612973</v>
      </c>
      <c r="D327" s="176">
        <v>376562500</v>
      </c>
      <c r="E327" s="26">
        <f>VLOOKUP(2360,季財報!$A:$H,8,0)</f>
        <v>1</v>
      </c>
      <c r="F327" s="183">
        <v>4.2791666666666672E-2</v>
      </c>
      <c r="G327" s="176">
        <v>21577031250</v>
      </c>
      <c r="H327" s="176">
        <v>9875952000</v>
      </c>
      <c r="I327" s="174">
        <v>2.1848051965015625</v>
      </c>
      <c r="J327" s="176">
        <v>15.477858323317307</v>
      </c>
    </row>
    <row r="328" spans="1:10">
      <c r="A328" s="65">
        <v>2361</v>
      </c>
      <c r="B328" s="174">
        <v>0.26</v>
      </c>
      <c r="C328" s="183">
        <v>0.70270270270270274</v>
      </c>
      <c r="D328" s="176">
        <v>73076923.076923072</v>
      </c>
      <c r="E328" s="26">
        <f>VLOOKUP(2361,季財報!$A:$H,8,0)</f>
        <v>3</v>
      </c>
      <c r="F328" s="183">
        <v>0.10519166666666668</v>
      </c>
      <c r="G328" s="176">
        <v>0</v>
      </c>
      <c r="H328" s="176">
        <v>204452000</v>
      </c>
      <c r="I328" s="174">
        <v>0</v>
      </c>
      <c r="J328" s="176">
        <v>0</v>
      </c>
    </row>
    <row r="329" spans="1:10">
      <c r="A329" s="65">
        <v>2362</v>
      </c>
      <c r="B329" s="174">
        <v>0.06</v>
      </c>
      <c r="C329" s="183">
        <v>1</v>
      </c>
      <c r="D329" s="176">
        <v>700000000</v>
      </c>
      <c r="E329" s="26">
        <f>VLOOKUP(2362,季財報!$A:$H,8,0)</f>
        <v>1</v>
      </c>
      <c r="F329" s="183">
        <v>3.4191666666666669E-2</v>
      </c>
      <c r="G329" s="176">
        <v>22609999999.999996</v>
      </c>
      <c r="H329" s="176">
        <v>19200600000</v>
      </c>
      <c r="I329" s="174">
        <v>1.1775673676864262</v>
      </c>
      <c r="J329" s="176">
        <v>50</v>
      </c>
    </row>
    <row r="330" spans="1:10">
      <c r="A330" s="65">
        <v>2363</v>
      </c>
      <c r="B330" s="174">
        <v>0.17</v>
      </c>
      <c r="C330" s="183">
        <v>0</v>
      </c>
      <c r="D330" s="176">
        <v>600000000</v>
      </c>
      <c r="E330" s="26">
        <f>VLOOKUP(2363,季財報!$A:$H,8,0)</f>
        <v>2</v>
      </c>
      <c r="F330" s="183">
        <v>5.688333333333332E-2</v>
      </c>
      <c r="G330" s="176">
        <v>3990000000</v>
      </c>
      <c r="H330" s="176">
        <v>240664000</v>
      </c>
      <c r="I330" s="174">
        <v>10</v>
      </c>
      <c r="J330" s="176">
        <v>0</v>
      </c>
    </row>
    <row r="331" spans="1:10">
      <c r="A331" s="65">
        <v>2364</v>
      </c>
      <c r="B331" s="174">
        <v>-0.2</v>
      </c>
      <c r="C331" s="183">
        <v>1</v>
      </c>
      <c r="D331" s="176">
        <v>185000000</v>
      </c>
      <c r="E331" s="26">
        <f>VLOOKUP(2364,季財報!$A:$H,8,0)</f>
        <v>4</v>
      </c>
      <c r="F331" s="183">
        <v>6.8266666666666684E-2</v>
      </c>
      <c r="G331" s="176">
        <v>490250000</v>
      </c>
      <c r="H331" s="176">
        <v>784795000</v>
      </c>
      <c r="I331" s="174">
        <v>0.62468542740460886</v>
      </c>
      <c r="J331" s="176">
        <v>0</v>
      </c>
    </row>
    <row r="332" spans="1:10">
      <c r="A332" s="65">
        <v>2365</v>
      </c>
      <c r="B332" s="174">
        <v>0.11</v>
      </c>
      <c r="C332" s="183">
        <v>0</v>
      </c>
      <c r="D332" s="176">
        <v>281818181.81818181</v>
      </c>
      <c r="E332" s="26">
        <f>VLOOKUP(2365,季財報!$A:$H,8,0)</f>
        <v>2</v>
      </c>
      <c r="F332" s="183">
        <v>-2.1000000000000008E-2</v>
      </c>
      <c r="G332" s="176">
        <v>2570181818.181818</v>
      </c>
      <c r="H332" s="176">
        <v>6176830000</v>
      </c>
      <c r="I332" s="174">
        <v>0.41610046224063446</v>
      </c>
      <c r="J332" s="176">
        <v>0</v>
      </c>
    </row>
    <row r="333" spans="1:10">
      <c r="A333" s="65">
        <v>2367</v>
      </c>
      <c r="B333" s="174">
        <v>0.53</v>
      </c>
      <c r="C333" s="183">
        <v>0.6837944664031621</v>
      </c>
      <c r="D333" s="176">
        <v>562264150.94339621</v>
      </c>
      <c r="E333" s="26">
        <f>VLOOKUP(2367,季財報!$A:$H,8,0)</f>
        <v>3</v>
      </c>
      <c r="F333" s="183">
        <v>1.0200000000000008E-2</v>
      </c>
      <c r="G333" s="176">
        <v>6803396226.4150944</v>
      </c>
      <c r="H333" s="176">
        <v>13968216000</v>
      </c>
      <c r="I333" s="174">
        <v>0.48706264467954208</v>
      </c>
      <c r="J333" s="176">
        <v>8.3468753408223346</v>
      </c>
    </row>
    <row r="334" spans="1:10">
      <c r="A334" s="65">
        <v>2368</v>
      </c>
      <c r="B334" s="174">
        <v>-0.04</v>
      </c>
      <c r="C334" s="183">
        <v>0</v>
      </c>
      <c r="D334" s="176">
        <v>550000000</v>
      </c>
      <c r="E334" s="26">
        <f>VLOOKUP(2368,季財報!$A:$H,8,0)</f>
        <v>2</v>
      </c>
      <c r="F334" s="183">
        <v>-8.3416666666666656E-3</v>
      </c>
      <c r="G334" s="176">
        <v>5555000000</v>
      </c>
      <c r="H334" s="176">
        <v>20329486000</v>
      </c>
      <c r="I334" s="174">
        <v>0.27324842349678691</v>
      </c>
      <c r="J334" s="176">
        <v>0</v>
      </c>
    </row>
    <row r="335" spans="1:10">
      <c r="A335" s="65">
        <v>2369</v>
      </c>
      <c r="B335" s="174">
        <v>-0.03</v>
      </c>
      <c r="C335" s="183">
        <v>1</v>
      </c>
      <c r="D335" s="176">
        <v>366666666.66666669</v>
      </c>
      <c r="E335" s="26">
        <f>VLOOKUP(2369,季財報!$A:$H,8,0)</f>
        <v>2</v>
      </c>
      <c r="F335" s="183">
        <v>-3.1249999999999993E-3</v>
      </c>
      <c r="G335" s="176">
        <v>3560333333.333334</v>
      </c>
      <c r="H335" s="176">
        <v>5519574000</v>
      </c>
      <c r="I335" s="174">
        <v>0.64503770278889894</v>
      </c>
      <c r="J335" s="176">
        <v>0</v>
      </c>
    </row>
    <row r="336" spans="1:10">
      <c r="A336" s="65">
        <v>2371</v>
      </c>
      <c r="B336" s="174">
        <v>-0.45</v>
      </c>
      <c r="C336" s="183">
        <v>0.99687304565353341</v>
      </c>
      <c r="D336" s="176">
        <v>2280000000</v>
      </c>
      <c r="E336" s="26">
        <f>VLOOKUP(2371,季財報!$A:$H,8,0)</f>
        <v>2</v>
      </c>
      <c r="F336" s="183">
        <v>-1.0641666666666667E-2</v>
      </c>
      <c r="G336" s="176">
        <v>12768000000</v>
      </c>
      <c r="H336" s="176">
        <v>98157983000</v>
      </c>
      <c r="I336" s="174">
        <v>0.13007602244638625</v>
      </c>
      <c r="J336" s="176">
        <v>0</v>
      </c>
    </row>
    <row r="337" spans="1:10">
      <c r="A337" s="65">
        <v>2373</v>
      </c>
      <c r="B337" s="174">
        <v>0.99</v>
      </c>
      <c r="C337" s="183">
        <v>0.30642504118616143</v>
      </c>
      <c r="D337" s="176">
        <v>311111111.1111111</v>
      </c>
      <c r="E337" s="26">
        <f>VLOOKUP(2373,季財報!$A:$H,8,0)</f>
        <v>1</v>
      </c>
      <c r="F337" s="183">
        <v>3.3999999999999996E-2</v>
      </c>
      <c r="G337" s="176">
        <v>16146666666.666666</v>
      </c>
      <c r="H337" s="176">
        <v>13011474000</v>
      </c>
      <c r="I337" s="174">
        <v>1.2409559951982894</v>
      </c>
      <c r="J337" s="176">
        <v>42.770853698273051</v>
      </c>
    </row>
    <row r="338" spans="1:10">
      <c r="A338" s="65">
        <v>2374</v>
      </c>
      <c r="B338" s="174">
        <v>0.72</v>
      </c>
      <c r="C338" s="183">
        <v>0.35625000000000001</v>
      </c>
      <c r="D338" s="176">
        <v>402777777.77777779</v>
      </c>
      <c r="E338" s="26">
        <f>VLOOKUP(2374,季財報!$A:$H,8,0)</f>
        <v>2</v>
      </c>
      <c r="F338" s="183">
        <v>7.2499999999999767E-4</v>
      </c>
      <c r="G338" s="176">
        <v>9485416666.6666679</v>
      </c>
      <c r="H338" s="176">
        <v>20395987000</v>
      </c>
      <c r="I338" s="174">
        <v>0.46506289039440296</v>
      </c>
      <c r="J338" s="176">
        <v>22.953216374269005</v>
      </c>
    </row>
    <row r="339" spans="1:10">
      <c r="A339" s="65">
        <v>2375</v>
      </c>
      <c r="B339" s="174">
        <v>0.06</v>
      </c>
      <c r="C339" s="183">
        <v>0.6</v>
      </c>
      <c r="D339" s="176">
        <v>66666666.666666672</v>
      </c>
      <c r="E339" s="26">
        <f>VLOOKUP(2375,季財報!$A:$H,8,0)</f>
        <v>1</v>
      </c>
      <c r="F339" s="183">
        <v>3.3624999999999995E-2</v>
      </c>
      <c r="G339" s="176">
        <v>973333333.33333337</v>
      </c>
      <c r="H339" s="176">
        <v>1479482000</v>
      </c>
      <c r="I339" s="174">
        <v>0.65788791842910788</v>
      </c>
      <c r="J339" s="176">
        <v>50</v>
      </c>
    </row>
    <row r="340" spans="1:10">
      <c r="A340" s="65">
        <v>2376</v>
      </c>
      <c r="B340" s="174">
        <v>1.3</v>
      </c>
      <c r="C340" s="183">
        <v>0.44037478705281091</v>
      </c>
      <c r="D340" s="176">
        <v>629230769.23076916</v>
      </c>
      <c r="E340" s="26">
        <f>VLOOKUP(2376,季財報!$A:$H,8,0)</f>
        <v>4</v>
      </c>
      <c r="F340" s="183">
        <v>1.8749999999999996E-2</v>
      </c>
      <c r="G340" s="176">
        <v>21960153846.153843</v>
      </c>
      <c r="H340" s="176">
        <v>51311216000</v>
      </c>
      <c r="I340" s="174">
        <v>0.42797960286409586</v>
      </c>
      <c r="J340" s="176">
        <v>15.24051480434459</v>
      </c>
    </row>
    <row r="341" spans="1:10">
      <c r="A341" s="65">
        <v>2377</v>
      </c>
      <c r="B341" s="174">
        <v>1.35</v>
      </c>
      <c r="C341" s="183">
        <v>0.909358446144791</v>
      </c>
      <c r="D341" s="176">
        <v>847407407.4074074</v>
      </c>
      <c r="E341" s="26">
        <f>VLOOKUP(2377,季財報!$A:$H,8,0)</f>
        <v>5</v>
      </c>
      <c r="F341" s="183">
        <v>1.5633333333333336E-2</v>
      </c>
      <c r="G341" s="176">
        <v>35209777777.777779</v>
      </c>
      <c r="H341" s="176">
        <v>83327889000</v>
      </c>
      <c r="I341" s="174">
        <v>0.42254493903929063</v>
      </c>
      <c r="J341" s="176">
        <v>8.4613987774181947</v>
      </c>
    </row>
    <row r="342" spans="1:10">
      <c r="A342" s="65">
        <v>2379</v>
      </c>
      <c r="B342" s="174">
        <v>1.19</v>
      </c>
      <c r="C342" s="183">
        <v>0.44559585492227977</v>
      </c>
      <c r="D342" s="176">
        <v>504201680.67226893</v>
      </c>
      <c r="E342" s="26">
        <f>VLOOKUP(2379,季財報!$A:$H,8,0)</f>
        <v>2</v>
      </c>
      <c r="F342" s="183">
        <v>2.3341666666666674E-2</v>
      </c>
      <c r="G342" s="176">
        <v>36554621848.739494</v>
      </c>
      <c r="H342" s="176">
        <v>30548091000</v>
      </c>
      <c r="I342" s="174">
        <v>1.1966254077460845</v>
      </c>
      <c r="J342" s="176">
        <v>34.181405120187613</v>
      </c>
    </row>
    <row r="343" spans="1:10">
      <c r="A343" s="65">
        <v>2380</v>
      </c>
      <c r="B343" s="174">
        <v>-0.08</v>
      </c>
      <c r="C343" s="183">
        <v>1</v>
      </c>
      <c r="D343" s="176">
        <v>212500000</v>
      </c>
      <c r="E343" s="26">
        <f>VLOOKUP(2380,季財報!$A:$H,8,0)</f>
        <v>2</v>
      </c>
      <c r="F343" s="183">
        <v>2.2974999999999999E-2</v>
      </c>
      <c r="G343" s="176">
        <v>1572500000</v>
      </c>
      <c r="H343" s="176">
        <v>2544951000</v>
      </c>
      <c r="I343" s="174">
        <v>0.61789008904297171</v>
      </c>
      <c r="J343" s="176">
        <v>0</v>
      </c>
    </row>
    <row r="344" spans="1:10">
      <c r="A344" s="65">
        <v>2382</v>
      </c>
      <c r="B344" s="174">
        <v>1.51</v>
      </c>
      <c r="C344" s="183">
        <v>0.66384180790960456</v>
      </c>
      <c r="D344" s="176">
        <v>3861589403.9735098</v>
      </c>
      <c r="E344" s="26">
        <f>VLOOKUP(2382,季財報!$A:$H,8,0)</f>
        <v>2</v>
      </c>
      <c r="F344" s="183">
        <v>2.9516666666666663E-2</v>
      </c>
      <c r="G344" s="176">
        <v>206981192052.98013</v>
      </c>
      <c r="H344" s="176">
        <v>991631104000</v>
      </c>
      <c r="I344" s="174">
        <v>0.20872801510366917</v>
      </c>
      <c r="J344" s="176">
        <v>13.367901930393122</v>
      </c>
    </row>
    <row r="345" spans="1:10">
      <c r="A345" s="65">
        <v>2383</v>
      </c>
      <c r="B345" s="174">
        <v>2.4300000000000002</v>
      </c>
      <c r="C345" s="183">
        <v>0.97838270616493195</v>
      </c>
      <c r="D345" s="176">
        <v>316872427.98353904</v>
      </c>
      <c r="E345" s="26">
        <f>VLOOKUP(2383,季財報!$A:$H,8,0)</f>
        <v>5</v>
      </c>
      <c r="F345" s="183">
        <v>7.6250000000000024E-3</v>
      </c>
      <c r="G345" s="176">
        <v>20501646090.534977</v>
      </c>
      <c r="H345" s="176">
        <v>21141654000</v>
      </c>
      <c r="I345" s="174">
        <v>0.96972763297209275</v>
      </c>
      <c r="J345" s="176">
        <v>6.8034507957675805</v>
      </c>
    </row>
    <row r="346" spans="1:10">
      <c r="A346" s="65">
        <v>2385</v>
      </c>
      <c r="B346" s="174">
        <v>1.25</v>
      </c>
      <c r="C346" s="183">
        <v>0.78403001071811362</v>
      </c>
      <c r="D346" s="176">
        <v>664800000</v>
      </c>
      <c r="E346" s="26">
        <f>VLOOKUP(2385,季財報!$A:$H,8,0)</f>
        <v>1</v>
      </c>
      <c r="F346" s="183">
        <v>3.1750000000000003E-3</v>
      </c>
      <c r="G346" s="176">
        <v>49328160000</v>
      </c>
      <c r="H346" s="176">
        <v>82836161000</v>
      </c>
      <c r="I346" s="174">
        <v>0.59549065775754628</v>
      </c>
      <c r="J346" s="176">
        <v>18.927846889952153</v>
      </c>
    </row>
    <row r="347" spans="1:10">
      <c r="A347" s="65">
        <v>2387</v>
      </c>
      <c r="B347" s="174">
        <v>0.81</v>
      </c>
      <c r="C347" s="183">
        <v>0.63636363636363635</v>
      </c>
      <c r="D347" s="176">
        <v>351851851.85185182</v>
      </c>
      <c r="E347" s="26">
        <f>VLOOKUP(2387,季財報!$A:$H,8,0)</f>
        <v>4</v>
      </c>
      <c r="F347" s="183">
        <v>1.8733333333333331E-2</v>
      </c>
      <c r="G347" s="176">
        <v>5312962962.9629622</v>
      </c>
      <c r="H347" s="176">
        <v>16814989000</v>
      </c>
      <c r="I347" s="174">
        <v>0.3159658898951978</v>
      </c>
      <c r="J347" s="176">
        <v>7.3236331569664896</v>
      </c>
    </row>
    <row r="348" spans="1:10">
      <c r="A348" s="65">
        <v>2388</v>
      </c>
      <c r="B348" s="174">
        <v>3.47</v>
      </c>
      <c r="C348" s="183">
        <v>0</v>
      </c>
      <c r="D348" s="176">
        <v>493083573.4870317</v>
      </c>
      <c r="E348" s="26">
        <f>VLOOKUP(2388,季財報!$A:$H,8,0)</f>
        <v>4</v>
      </c>
      <c r="F348" s="183">
        <v>1.8091666666666659E-2</v>
      </c>
      <c r="G348" s="176">
        <v>3989046109.5100865</v>
      </c>
      <c r="H348" s="176">
        <v>4835083000</v>
      </c>
      <c r="I348" s="174">
        <v>0.82502122704203562</v>
      </c>
      <c r="J348" s="176">
        <v>0</v>
      </c>
    </row>
    <row r="349" spans="1:10">
      <c r="A349" s="65">
        <v>2390</v>
      </c>
      <c r="B349" s="174">
        <v>0.4</v>
      </c>
      <c r="C349" s="183">
        <v>0</v>
      </c>
      <c r="D349" s="176">
        <v>215000000</v>
      </c>
      <c r="E349" s="26">
        <f>VLOOKUP(2390,季財報!$A:$H,8,0)</f>
        <v>3</v>
      </c>
      <c r="F349" s="183">
        <v>-1.0966666666666671E-2</v>
      </c>
      <c r="G349" s="176">
        <v>4751500000</v>
      </c>
      <c r="H349" s="176">
        <v>827125000</v>
      </c>
      <c r="I349" s="174">
        <v>5.7445972495088409</v>
      </c>
      <c r="J349" s="176">
        <v>0</v>
      </c>
    </row>
    <row r="350" spans="1:10">
      <c r="A350" s="65">
        <v>2392</v>
      </c>
      <c r="B350" s="174">
        <v>2</v>
      </c>
      <c r="C350" s="183">
        <v>0</v>
      </c>
      <c r="D350" s="176">
        <v>512500000</v>
      </c>
      <c r="E350" s="26">
        <f>VLOOKUP(2392,季財報!$A:$H,8,0)</f>
        <v>3</v>
      </c>
      <c r="F350" s="183">
        <v>4.3166666666666666E-2</v>
      </c>
      <c r="G350" s="176">
        <v>22960000000</v>
      </c>
      <c r="H350" s="176">
        <v>107819404000</v>
      </c>
      <c r="I350" s="174">
        <v>0.21294868222421262</v>
      </c>
      <c r="J350" s="176">
        <v>0</v>
      </c>
    </row>
    <row r="351" spans="1:10">
      <c r="A351" s="65">
        <v>2393</v>
      </c>
      <c r="B351" s="174">
        <v>0.96</v>
      </c>
      <c r="C351" s="183">
        <v>0.8559670781893004</v>
      </c>
      <c r="D351" s="176">
        <v>431250000</v>
      </c>
      <c r="E351" s="26">
        <f>VLOOKUP(2393,季財報!$A:$H,8,0)</f>
        <v>2</v>
      </c>
      <c r="F351" s="183">
        <v>-1.2658333333333336E-2</v>
      </c>
      <c r="G351" s="176">
        <v>19147500000</v>
      </c>
      <c r="H351" s="176">
        <v>29070586000</v>
      </c>
      <c r="I351" s="174">
        <v>0.65865545331628339</v>
      </c>
      <c r="J351" s="176">
        <v>13.508112980769232</v>
      </c>
    </row>
    <row r="352" spans="1:10">
      <c r="A352" s="65">
        <v>2395</v>
      </c>
      <c r="B352" s="174">
        <v>1.94</v>
      </c>
      <c r="C352" s="183">
        <v>0.92723004694835676</v>
      </c>
      <c r="D352" s="176">
        <v>632989690.72164953</v>
      </c>
      <c r="E352" s="26">
        <f>VLOOKUP(2395,季財報!$A:$H,8,0)</f>
        <v>1</v>
      </c>
      <c r="F352" s="183">
        <v>1.7316666666666668E-2</v>
      </c>
      <c r="G352" s="176">
        <v>141473195876.28867</v>
      </c>
      <c r="H352" s="176">
        <v>37633254000</v>
      </c>
      <c r="I352" s="174">
        <v>3.759260250954878</v>
      </c>
      <c r="J352" s="176">
        <v>31.061920918700249</v>
      </c>
    </row>
    <row r="353" spans="1:10">
      <c r="A353" s="65">
        <v>2397</v>
      </c>
      <c r="B353" s="174">
        <v>1.05</v>
      </c>
      <c r="C353" s="183">
        <v>0.77142857142857146</v>
      </c>
      <c r="D353" s="176">
        <v>114285714.28571428</v>
      </c>
      <c r="E353" s="26">
        <f>VLOOKUP(2397,季財報!$A:$H,8,0)</f>
        <v>3</v>
      </c>
      <c r="F353" s="183">
        <v>1.8108333333333327E-2</v>
      </c>
      <c r="G353" s="176">
        <v>4502857142.8571424</v>
      </c>
      <c r="H353" s="176">
        <v>3039948000</v>
      </c>
      <c r="I353" s="174">
        <v>1.4812283443194234</v>
      </c>
      <c r="J353" s="176">
        <v>12.160493827160492</v>
      </c>
    </row>
    <row r="354" spans="1:10">
      <c r="A354" s="65">
        <v>2399</v>
      </c>
      <c r="B354" s="174">
        <v>0.08</v>
      </c>
      <c r="C354" s="183">
        <v>1</v>
      </c>
      <c r="D354" s="176">
        <v>200000000</v>
      </c>
      <c r="E354" s="26">
        <f>VLOOKUP(2399,季財報!$A:$H,8,0)</f>
        <v>3</v>
      </c>
      <c r="F354" s="183">
        <v>0.94009166666666666</v>
      </c>
      <c r="G354" s="176">
        <v>1422000000</v>
      </c>
      <c r="H354" s="176">
        <v>2801915000</v>
      </c>
      <c r="I354" s="174">
        <v>0.50751004223896867</v>
      </c>
      <c r="J354" s="176">
        <v>22.21875</v>
      </c>
    </row>
    <row r="355" spans="1:10">
      <c r="A355" s="65">
        <v>2401</v>
      </c>
      <c r="B355" s="174">
        <v>-0.51</v>
      </c>
      <c r="C355" s="183">
        <v>0</v>
      </c>
      <c r="D355" s="176">
        <v>584313725.49019611</v>
      </c>
      <c r="E355" s="26">
        <f>VLOOKUP(2401,季財報!$A:$H,8,0)</f>
        <v>0</v>
      </c>
      <c r="F355" s="183">
        <v>3.314166666666666E-2</v>
      </c>
      <c r="G355" s="176">
        <v>6982549019.6078434</v>
      </c>
      <c r="H355" s="176">
        <v>8575215000</v>
      </c>
      <c r="I355" s="174">
        <v>0.81427101473348984</v>
      </c>
      <c r="J355" s="176">
        <v>0</v>
      </c>
    </row>
    <row r="356" spans="1:10">
      <c r="A356" s="65">
        <v>2402</v>
      </c>
      <c r="B356" s="174">
        <v>0.23</v>
      </c>
      <c r="C356" s="183">
        <v>7.6923076923076927E-3</v>
      </c>
      <c r="D356" s="176">
        <v>330434782.60869563</v>
      </c>
      <c r="E356" s="26">
        <f>VLOOKUP(2402,季財報!$A:$H,8,0)</f>
        <v>2</v>
      </c>
      <c r="F356" s="183">
        <v>-2.2991666666666671E-2</v>
      </c>
      <c r="G356" s="176">
        <v>5650434782.608696</v>
      </c>
      <c r="H356" s="176">
        <v>7903914000</v>
      </c>
      <c r="I356" s="174">
        <v>0.7148907215600645</v>
      </c>
      <c r="J356" s="176">
        <v>50</v>
      </c>
    </row>
    <row r="357" spans="1:10">
      <c r="A357" s="65">
        <v>2404</v>
      </c>
      <c r="B357" s="174">
        <v>1.81</v>
      </c>
      <c r="C357" s="183">
        <v>0.44009216589861749</v>
      </c>
      <c r="D357" s="176">
        <v>238674033.14917126</v>
      </c>
      <c r="E357" s="26">
        <f>VLOOKUP(2404,季財報!$A:$H,8,0)</f>
        <v>3</v>
      </c>
      <c r="F357" s="183">
        <v>7.5141666666666662E-2</v>
      </c>
      <c r="G357" s="176">
        <v>9881104972.3756905</v>
      </c>
      <c r="H357" s="176">
        <v>12083169000</v>
      </c>
      <c r="I357" s="174">
        <v>0.81775773990876821</v>
      </c>
      <c r="J357" s="176">
        <v>12.993260247027855</v>
      </c>
    </row>
    <row r="358" spans="1:10">
      <c r="A358" s="65">
        <v>2405</v>
      </c>
      <c r="B358" s="179">
        <v>-0.1</v>
      </c>
      <c r="C358" s="183">
        <v>1</v>
      </c>
      <c r="D358" s="180">
        <v>340000000</v>
      </c>
      <c r="E358" s="26">
        <f>VLOOKUP(2405,季財報!$A:$H,8,0)</f>
        <v>4</v>
      </c>
      <c r="F358" s="183">
        <v>3.2841666666666679E-2</v>
      </c>
      <c r="G358" s="180">
        <v>2499000000</v>
      </c>
      <c r="H358" s="180">
        <v>5092276000</v>
      </c>
      <c r="I358" s="179">
        <v>0.49074323544128401</v>
      </c>
      <c r="J358" s="180">
        <v>0</v>
      </c>
    </row>
    <row r="359" spans="1:10">
      <c r="A359" s="65">
        <v>2406</v>
      </c>
      <c r="B359" s="174">
        <v>0.44</v>
      </c>
      <c r="C359" s="183">
        <v>1</v>
      </c>
      <c r="D359" s="176">
        <v>304545454.54545456</v>
      </c>
      <c r="E359" s="26">
        <f>VLOOKUP(2406,季財報!$A:$H,8,0)</f>
        <v>5</v>
      </c>
      <c r="F359" s="183">
        <v>4.713333333333334E-2</v>
      </c>
      <c r="G359" s="176">
        <v>9456136363.636364</v>
      </c>
      <c r="H359" s="176">
        <v>17276548000</v>
      </c>
      <c r="I359" s="174">
        <v>0.54733945482838142</v>
      </c>
      <c r="J359" s="176">
        <v>17.642045454545453</v>
      </c>
    </row>
    <row r="360" spans="1:10">
      <c r="A360" s="65">
        <v>2408</v>
      </c>
      <c r="B360" s="174">
        <v>1.94</v>
      </c>
      <c r="C360" s="183">
        <v>0.70727090524440483</v>
      </c>
      <c r="D360" s="176">
        <v>2436597938.14433</v>
      </c>
      <c r="E360" s="26">
        <f>VLOOKUP(2408,季財報!$A:$H,8,0)</f>
        <v>2</v>
      </c>
      <c r="F360" s="183">
        <v>-1.5033333333333336E-2</v>
      </c>
      <c r="G360" s="176">
        <v>88692164948.453613</v>
      </c>
      <c r="H360" s="176">
        <v>45188145000</v>
      </c>
      <c r="I360" s="174">
        <v>1.9627308212907082</v>
      </c>
      <c r="J360" s="176">
        <v>6.6321428107715086</v>
      </c>
    </row>
    <row r="361" spans="1:10">
      <c r="A361" s="65">
        <v>2409</v>
      </c>
      <c r="B361" s="174">
        <v>0.36</v>
      </c>
      <c r="C361" s="183">
        <v>0.98554913294797686</v>
      </c>
      <c r="D361" s="176">
        <v>9619444444.4444447</v>
      </c>
      <c r="E361" s="26">
        <f>VLOOKUP(2409,季財報!$A:$H,8,0)</f>
        <v>1</v>
      </c>
      <c r="F361" s="183">
        <v>-1.4983333333333329E-2</v>
      </c>
      <c r="G361" s="176">
        <v>88017916666.666672</v>
      </c>
      <c r="H361" s="176">
        <v>374551273000</v>
      </c>
      <c r="I361" s="174">
        <v>0.23499564148235233</v>
      </c>
      <c r="J361" s="176">
        <v>6.4473362658846538</v>
      </c>
    </row>
    <row r="362" spans="1:10">
      <c r="A362" s="65">
        <v>2412</v>
      </c>
      <c r="B362" s="174">
        <v>1.52</v>
      </c>
      <c r="C362" s="183">
        <v>0.97623719206453019</v>
      </c>
      <c r="D362" s="176">
        <v>7763815789.4736843</v>
      </c>
      <c r="E362" s="26">
        <f>VLOOKUP(2412,季財報!$A:$H,8,0)</f>
        <v>3</v>
      </c>
      <c r="F362" s="183">
        <v>6.7666666666666665E-3</v>
      </c>
      <c r="G362" s="176">
        <v>771723289473.6842</v>
      </c>
      <c r="H362" s="176">
        <v>230599939000</v>
      </c>
      <c r="I362" s="174">
        <v>3.3465893044910313</v>
      </c>
      <c r="J362" s="176">
        <v>16.746631191086248</v>
      </c>
    </row>
    <row r="363" spans="1:10">
      <c r="A363" s="65">
        <v>2413</v>
      </c>
      <c r="B363" s="174">
        <v>0.71</v>
      </c>
      <c r="C363" s="183">
        <v>0.45454545454545453</v>
      </c>
      <c r="D363" s="176">
        <v>126760563.3802817</v>
      </c>
      <c r="E363" s="26">
        <f>VLOOKUP(2413,季財報!$A:$H,8,0)</f>
        <v>4</v>
      </c>
      <c r="F363" s="183">
        <v>1.2791666666666668E-2</v>
      </c>
      <c r="G363" s="176">
        <v>1838028169.0140846</v>
      </c>
      <c r="H363" s="176">
        <v>4349770000</v>
      </c>
      <c r="I363" s="174">
        <v>0.42255755339111828</v>
      </c>
      <c r="J363" s="176">
        <v>11.232394366197184</v>
      </c>
    </row>
    <row r="364" spans="1:10">
      <c r="A364" s="65">
        <v>2414</v>
      </c>
      <c r="B364" s="174">
        <v>0.35</v>
      </c>
      <c r="C364" s="183">
        <v>1</v>
      </c>
      <c r="D364" s="176">
        <v>160000000</v>
      </c>
      <c r="E364" s="26">
        <f>VLOOKUP(2414,季財報!$A:$H,8,0)</f>
        <v>1</v>
      </c>
      <c r="F364" s="183">
        <v>2.0033333333333334E-2</v>
      </c>
      <c r="G364" s="176">
        <v>2600000000</v>
      </c>
      <c r="H364" s="176">
        <v>15567329000</v>
      </c>
      <c r="I364" s="174">
        <v>0.16701644835796814</v>
      </c>
      <c r="J364" s="176">
        <v>11.607142857142858</v>
      </c>
    </row>
    <row r="365" spans="1:10">
      <c r="A365" s="65">
        <v>2415</v>
      </c>
      <c r="B365" s="174">
        <v>0.4</v>
      </c>
      <c r="C365" s="183">
        <v>1</v>
      </c>
      <c r="D365" s="176">
        <v>90000000</v>
      </c>
      <c r="E365" s="26">
        <f>VLOOKUP(2415,季財報!$A:$H,8,0)</f>
        <v>4</v>
      </c>
      <c r="F365" s="183">
        <v>1.3675000000000001E-2</v>
      </c>
      <c r="G365" s="176">
        <v>1156500000</v>
      </c>
      <c r="H365" s="176">
        <v>2126222000</v>
      </c>
      <c r="I365" s="174">
        <v>0.54392250668086395</v>
      </c>
      <c r="J365" s="176">
        <v>8.03125</v>
      </c>
    </row>
    <row r="366" spans="1:10">
      <c r="A366" s="65">
        <v>2417</v>
      </c>
      <c r="B366" s="174">
        <v>-0.27</v>
      </c>
      <c r="C366" s="183">
        <v>1</v>
      </c>
      <c r="D366" s="176">
        <v>192592592.59259257</v>
      </c>
      <c r="E366" s="26">
        <f>VLOOKUP(2417,季財報!$A:$H,8,0)</f>
        <v>1</v>
      </c>
      <c r="F366" s="183">
        <v>0.18697499999999997</v>
      </c>
      <c r="G366" s="176">
        <v>1870074074.074074</v>
      </c>
      <c r="H366" s="176">
        <v>2030863000</v>
      </c>
      <c r="I366" s="174">
        <v>0.92082729070059088</v>
      </c>
      <c r="J366" s="176">
        <v>0</v>
      </c>
    </row>
    <row r="367" spans="1:10">
      <c r="A367" s="65">
        <v>2419</v>
      </c>
      <c r="B367" s="174">
        <v>0.32</v>
      </c>
      <c r="C367" s="183">
        <v>0.92</v>
      </c>
      <c r="D367" s="176">
        <v>234375000</v>
      </c>
      <c r="E367" s="26">
        <f>VLOOKUP(2419,季財報!$A:$H,8,0)</f>
        <v>4</v>
      </c>
      <c r="F367" s="183">
        <v>3.6266666666666662E-2</v>
      </c>
      <c r="G367" s="176">
        <v>3246093750</v>
      </c>
      <c r="H367" s="176">
        <v>7638634000</v>
      </c>
      <c r="I367" s="174">
        <v>0.42495736148635999</v>
      </c>
      <c r="J367" s="176">
        <v>11.761209239130435</v>
      </c>
    </row>
    <row r="368" spans="1:10">
      <c r="A368" s="65">
        <v>2420</v>
      </c>
      <c r="B368" s="174">
        <v>1.36</v>
      </c>
      <c r="C368" s="183">
        <v>0.74233128834355833</v>
      </c>
      <c r="D368" s="176">
        <v>152941176.47058824</v>
      </c>
      <c r="E368" s="26">
        <f>VLOOKUP(2420,季財報!$A:$H,8,0)</f>
        <v>3</v>
      </c>
      <c r="F368" s="183">
        <v>4.9333333333333286E-3</v>
      </c>
      <c r="G368" s="176">
        <v>6760000000.000001</v>
      </c>
      <c r="H368" s="176">
        <v>3295779000</v>
      </c>
      <c r="I368" s="174">
        <v>2.0511084025961694</v>
      </c>
      <c r="J368" s="176">
        <v>10.945247933884298</v>
      </c>
    </row>
    <row r="369" spans="1:10">
      <c r="A369" s="65">
        <v>2421</v>
      </c>
      <c r="B369" s="174">
        <v>0.7</v>
      </c>
      <c r="C369" s="183">
        <v>0.65461847389558236</v>
      </c>
      <c r="D369" s="176">
        <v>251428571.42857143</v>
      </c>
      <c r="E369" s="26">
        <f>VLOOKUP(2421,季財報!$A:$H,8,0)</f>
        <v>5</v>
      </c>
      <c r="F369" s="183">
        <v>2.441666666666667E-2</v>
      </c>
      <c r="G369" s="176">
        <v>4286857142.8571429</v>
      </c>
      <c r="H369" s="176">
        <v>10067278000</v>
      </c>
      <c r="I369" s="174">
        <v>0.42582087659217743</v>
      </c>
      <c r="J369" s="176">
        <v>9.3020376862401406</v>
      </c>
    </row>
    <row r="370" spans="1:10">
      <c r="A370" s="65">
        <v>2423</v>
      </c>
      <c r="B370" s="174">
        <v>0.5</v>
      </c>
      <c r="C370" s="183">
        <v>0.5321100917431193</v>
      </c>
      <c r="D370" s="176">
        <v>138000000</v>
      </c>
      <c r="E370" s="26">
        <f>VLOOKUP(2423,季財報!$A:$H,8,0)</f>
        <v>2</v>
      </c>
      <c r="F370" s="183">
        <v>4.2808333333333337E-2</v>
      </c>
      <c r="G370" s="176">
        <v>2311500000</v>
      </c>
      <c r="H370" s="176">
        <v>2116559000</v>
      </c>
      <c r="I370" s="174">
        <v>1.0921027951500526</v>
      </c>
      <c r="J370" s="176">
        <v>15.739224137931034</v>
      </c>
    </row>
    <row r="371" spans="1:10">
      <c r="A371" s="65">
        <v>2424</v>
      </c>
      <c r="B371" s="174">
        <v>0.49</v>
      </c>
      <c r="C371" s="183">
        <v>0</v>
      </c>
      <c r="D371" s="176">
        <v>30612244.897959184</v>
      </c>
      <c r="E371" s="26">
        <f>VLOOKUP(2424,季財報!$A:$H,8,0)</f>
        <v>0</v>
      </c>
      <c r="F371" s="183">
        <v>9.3618666666666659</v>
      </c>
      <c r="G371" s="176">
        <v>948979591.83673465</v>
      </c>
      <c r="H371" s="176">
        <v>4601000</v>
      </c>
      <c r="I371" s="174">
        <v>10</v>
      </c>
      <c r="J371" s="176">
        <v>0</v>
      </c>
    </row>
    <row r="372" spans="1:10">
      <c r="A372" s="65">
        <v>2425</v>
      </c>
      <c r="B372" s="174">
        <v>1.1399999999999999</v>
      </c>
      <c r="C372" s="183">
        <v>0.640625</v>
      </c>
      <c r="D372" s="176">
        <v>108771929.82456142</v>
      </c>
      <c r="E372" s="26">
        <f>VLOOKUP(2425,季財報!$A:$H,8,0)</f>
        <v>2</v>
      </c>
      <c r="F372" s="183">
        <v>6.1774999999999997E-2</v>
      </c>
      <c r="G372" s="176">
        <v>2295087719.2982459</v>
      </c>
      <c r="H372" s="176">
        <v>7095075000</v>
      </c>
      <c r="I372" s="174">
        <v>0.32347617457155081</v>
      </c>
      <c r="J372" s="176">
        <v>7.2229353872486106</v>
      </c>
    </row>
    <row r="373" spans="1:10">
      <c r="A373" s="65">
        <v>2426</v>
      </c>
      <c r="B373" s="174">
        <v>0.41</v>
      </c>
      <c r="C373" s="183">
        <v>0.84651162790697676</v>
      </c>
      <c r="D373" s="176">
        <v>275609756.097561</v>
      </c>
      <c r="E373" s="26">
        <f>VLOOKUP(2426,季財報!$A:$H,8,0)</f>
        <v>2</v>
      </c>
      <c r="F373" s="183">
        <v>7.8416666666666652E-3</v>
      </c>
      <c r="G373" s="176">
        <v>4409756097.560976</v>
      </c>
      <c r="H373" s="176">
        <v>3643775000</v>
      </c>
      <c r="I373" s="174">
        <v>1.2102163546215055</v>
      </c>
      <c r="J373" s="176">
        <v>11.525060305548111</v>
      </c>
    </row>
    <row r="374" spans="1:10">
      <c r="A374" s="65">
        <v>2427</v>
      </c>
      <c r="B374" s="174">
        <v>0.12</v>
      </c>
      <c r="C374" s="183">
        <v>0</v>
      </c>
      <c r="D374" s="176">
        <v>191666666.66666669</v>
      </c>
      <c r="E374" s="26">
        <f>VLOOKUP(2427,季財報!$A:$H,8,0)</f>
        <v>3</v>
      </c>
      <c r="F374" s="183">
        <v>0.17390833333333336</v>
      </c>
      <c r="G374" s="176">
        <v>1209416666.6666667</v>
      </c>
      <c r="H374" s="176">
        <v>1979858000</v>
      </c>
      <c r="I374" s="174">
        <v>0.61086030749006581</v>
      </c>
      <c r="J374" s="176">
        <v>0</v>
      </c>
    </row>
    <row r="375" spans="1:10">
      <c r="A375" s="65">
        <v>2428</v>
      </c>
      <c r="B375" s="174">
        <v>2.11</v>
      </c>
      <c r="C375" s="183">
        <v>0.74689826302729534</v>
      </c>
      <c r="D375" s="176">
        <v>127488151.65876777</v>
      </c>
      <c r="E375" s="26">
        <f>VLOOKUP(2428,季財報!$A:$H,8,0)</f>
        <v>3</v>
      </c>
      <c r="F375" s="183">
        <v>2.4733333333333329E-2</v>
      </c>
      <c r="G375" s="176">
        <v>6374407582.9383888</v>
      </c>
      <c r="H375" s="176">
        <v>5039965000</v>
      </c>
      <c r="I375" s="174">
        <v>1.2647721924533977</v>
      </c>
      <c r="J375" s="176">
        <v>7.9316968714081026</v>
      </c>
    </row>
    <row r="376" spans="1:10">
      <c r="A376" s="65">
        <v>2429</v>
      </c>
      <c r="B376" s="174">
        <v>-0.45</v>
      </c>
      <c r="C376" s="183">
        <v>1</v>
      </c>
      <c r="D376" s="176">
        <v>35555555.555555552</v>
      </c>
      <c r="E376" s="26">
        <f>VLOOKUP(2429,季財報!$A:$H,8,0)</f>
        <v>3</v>
      </c>
      <c r="F376" s="183">
        <v>9.6416666666666647E-3</v>
      </c>
      <c r="G376" s="176">
        <v>0</v>
      </c>
      <c r="H376" s="176">
        <v>733119000</v>
      </c>
      <c r="I376" s="174">
        <v>0</v>
      </c>
      <c r="J376" s="176">
        <v>0</v>
      </c>
    </row>
    <row r="377" spans="1:10">
      <c r="A377" s="65">
        <v>2430</v>
      </c>
      <c r="B377" s="174">
        <v>0.92</v>
      </c>
      <c r="C377" s="183">
        <v>1</v>
      </c>
      <c r="D377" s="176">
        <v>168478260.86956522</v>
      </c>
      <c r="E377" s="26">
        <f>VLOOKUP(2430,季財報!$A:$H,8,0)</f>
        <v>2</v>
      </c>
      <c r="F377" s="183">
        <v>1.0424999999999999E-2</v>
      </c>
      <c r="G377" s="176">
        <v>3428532608.6956525</v>
      </c>
      <c r="H377" s="176">
        <v>23359407000</v>
      </c>
      <c r="I377" s="174">
        <v>0.14677310124763238</v>
      </c>
      <c r="J377" s="176">
        <v>5.5298913043478262</v>
      </c>
    </row>
    <row r="378" spans="1:10">
      <c r="A378" s="65">
        <v>2431</v>
      </c>
      <c r="B378" s="174">
        <v>0.15</v>
      </c>
      <c r="C378" s="183">
        <v>0</v>
      </c>
      <c r="D378" s="176">
        <v>113333333.33333334</v>
      </c>
      <c r="E378" s="26">
        <f>VLOOKUP(2431,季財報!$A:$H,8,0)</f>
        <v>3</v>
      </c>
      <c r="F378" s="183">
        <v>-1.8624999999999999E-2</v>
      </c>
      <c r="G378" s="176">
        <v>1734000000.0000002</v>
      </c>
      <c r="H378" s="176">
        <v>3891369000</v>
      </c>
      <c r="I378" s="174">
        <v>0.44560153508957906</v>
      </c>
      <c r="J378" s="176">
        <v>0</v>
      </c>
    </row>
    <row r="379" spans="1:10">
      <c r="A379" s="65">
        <v>2433</v>
      </c>
      <c r="B379" s="174">
        <v>1.44</v>
      </c>
      <c r="C379" s="183">
        <v>0.56932153392330387</v>
      </c>
      <c r="D379" s="176">
        <v>143750000</v>
      </c>
      <c r="E379" s="26">
        <f>VLOOKUP(2433,季財報!$A:$H,8,0)</f>
        <v>4</v>
      </c>
      <c r="F379" s="183">
        <v>1.9566666666666666E-2</v>
      </c>
      <c r="G379" s="176">
        <v>6382500000</v>
      </c>
      <c r="H379" s="176">
        <v>2851587000</v>
      </c>
      <c r="I379" s="174">
        <v>2.238227344983688</v>
      </c>
      <c r="J379" s="176">
        <v>13.539507772020725</v>
      </c>
    </row>
    <row r="380" spans="1:10">
      <c r="A380" s="65">
        <v>2434</v>
      </c>
      <c r="B380" s="174">
        <v>-1.58</v>
      </c>
      <c r="C380" s="183">
        <v>1</v>
      </c>
      <c r="D380" s="176">
        <v>110759493.67088607</v>
      </c>
      <c r="E380" s="26">
        <f>VLOOKUP(2434,季財報!$A:$H,8,0)</f>
        <v>3</v>
      </c>
      <c r="F380" s="183">
        <v>5.1908333333333313E-2</v>
      </c>
      <c r="G380" s="176">
        <v>634651898.73417723</v>
      </c>
      <c r="H380" s="176">
        <v>217406000</v>
      </c>
      <c r="I380" s="174">
        <v>2.9192013961628347</v>
      </c>
      <c r="J380" s="176">
        <v>0</v>
      </c>
    </row>
    <row r="381" spans="1:10">
      <c r="A381" s="65">
        <v>2436</v>
      </c>
      <c r="B381" s="174">
        <v>0.26</v>
      </c>
      <c r="C381" s="183">
        <v>0</v>
      </c>
      <c r="D381" s="176">
        <v>219230769.23076922</v>
      </c>
      <c r="E381" s="26">
        <f>VLOOKUP(2436,季財報!$A:$H,8,0)</f>
        <v>1</v>
      </c>
      <c r="F381" s="183">
        <v>1.5716666666666667E-2</v>
      </c>
      <c r="G381" s="176">
        <v>3902307692.3076921</v>
      </c>
      <c r="H381" s="176">
        <v>1764172000</v>
      </c>
      <c r="I381" s="174">
        <v>2.2119768890491924</v>
      </c>
      <c r="J381" s="176">
        <v>0</v>
      </c>
    </row>
    <row r="382" spans="1:10">
      <c r="A382" s="65">
        <v>2437</v>
      </c>
      <c r="B382" s="174">
        <v>1.64</v>
      </c>
      <c r="C382" s="183">
        <v>0.95260663507109</v>
      </c>
      <c r="D382" s="176">
        <v>66463414.634146348</v>
      </c>
      <c r="E382" s="26">
        <f>VLOOKUP(2437,季財報!$A:$H,8,0)</f>
        <v>3</v>
      </c>
      <c r="F382" s="183">
        <v>1.3291666666666667E-2</v>
      </c>
      <c r="G382" s="176">
        <v>3283292682.9268293</v>
      </c>
      <c r="H382" s="176">
        <v>4079986000</v>
      </c>
      <c r="I382" s="174">
        <v>0.80473136008967416</v>
      </c>
      <c r="J382" s="176">
        <v>7.9051389394490972</v>
      </c>
    </row>
    <row r="383" spans="1:10">
      <c r="A383" s="65">
        <v>2438</v>
      </c>
      <c r="B383" s="174">
        <v>0.09</v>
      </c>
      <c r="C383" s="183">
        <v>0</v>
      </c>
      <c r="D383" s="176">
        <v>77777777.777777776</v>
      </c>
      <c r="E383" s="26">
        <f>VLOOKUP(2438,季財報!$A:$H,8,0)</f>
        <v>2</v>
      </c>
      <c r="F383" s="183">
        <v>4.0983333333333323E-2</v>
      </c>
      <c r="G383" s="176">
        <v>1174444444.4444444</v>
      </c>
      <c r="H383" s="176">
        <v>585754000</v>
      </c>
      <c r="I383" s="174">
        <v>2.0050131018216595</v>
      </c>
      <c r="J383" s="176">
        <v>0</v>
      </c>
    </row>
    <row r="384" spans="1:10">
      <c r="A384" s="65">
        <v>2439</v>
      </c>
      <c r="B384" s="174">
        <v>1.38</v>
      </c>
      <c r="C384" s="183">
        <v>0.85512367491166075</v>
      </c>
      <c r="D384" s="176">
        <v>184782608.69565219</v>
      </c>
      <c r="E384" s="26">
        <f>VLOOKUP(2439,季財報!$A:$H,8,0)</f>
        <v>2</v>
      </c>
      <c r="F384" s="183">
        <v>3.7941666666666672E-2</v>
      </c>
      <c r="G384" s="176">
        <v>12010869565.217392</v>
      </c>
      <c r="H384" s="176">
        <v>12182805000</v>
      </c>
      <c r="I384" s="174">
        <v>0.9858870403997595</v>
      </c>
      <c r="J384" s="176">
        <v>13.770361719966465</v>
      </c>
    </row>
    <row r="385" spans="1:11">
      <c r="A385" s="65">
        <v>2440</v>
      </c>
      <c r="B385" s="174">
        <v>-0.11</v>
      </c>
      <c r="C385" s="183">
        <v>1</v>
      </c>
      <c r="D385" s="176">
        <v>136363636.36363637</v>
      </c>
      <c r="E385" s="26">
        <f>VLOOKUP(2440,季財報!$A:$H,8,0)</f>
        <v>0</v>
      </c>
      <c r="F385" s="183">
        <v>2.9641666666666667E-2</v>
      </c>
      <c r="G385" s="176">
        <v>1104545454.5454545</v>
      </c>
      <c r="H385" s="176">
        <v>2481049000</v>
      </c>
      <c r="I385" s="174">
        <v>0.44519292224597518</v>
      </c>
      <c r="J385" s="176">
        <v>0</v>
      </c>
    </row>
    <row r="386" spans="1:11">
      <c r="A386" s="65">
        <v>2441</v>
      </c>
      <c r="B386" s="174">
        <v>0.88</v>
      </c>
      <c r="C386" s="183">
        <v>0.94399999999999995</v>
      </c>
      <c r="D386" s="176">
        <v>567045454.5454545</v>
      </c>
      <c r="E386" s="26">
        <f>VLOOKUP(2441,季財報!$A:$H,8,0)</f>
        <v>2</v>
      </c>
      <c r="F386" s="183">
        <v>7.250000000000057E-4</v>
      </c>
      <c r="G386" s="176">
        <v>18599090909.090904</v>
      </c>
      <c r="H386" s="176">
        <v>9388456000</v>
      </c>
      <c r="I386" s="174">
        <v>1.981059602248858</v>
      </c>
      <c r="J386" s="176">
        <v>9.8709553158705692</v>
      </c>
    </row>
    <row r="387" spans="1:11">
      <c r="A387" s="65">
        <v>2442</v>
      </c>
      <c r="B387" s="174">
        <v>-0.12</v>
      </c>
      <c r="C387" s="183">
        <v>1</v>
      </c>
      <c r="D387" s="176">
        <v>200000000</v>
      </c>
      <c r="E387" s="26">
        <f>VLOOKUP(2442,季財報!$A:$H,8,0)</f>
        <v>1</v>
      </c>
      <c r="F387" s="183">
        <v>0.17944166666666664</v>
      </c>
      <c r="G387" s="176">
        <v>1374000000</v>
      </c>
      <c r="H387" s="176">
        <v>1163134000</v>
      </c>
      <c r="I387" s="174">
        <v>1.1812912355756087</v>
      </c>
      <c r="J387" s="176">
        <v>0</v>
      </c>
    </row>
    <row r="388" spans="1:11">
      <c r="A388" s="65">
        <v>2443</v>
      </c>
      <c r="B388" s="179">
        <v>-0.5</v>
      </c>
      <c r="C388" s="183">
        <v>1</v>
      </c>
      <c r="D388" s="180">
        <v>146000000</v>
      </c>
      <c r="E388" s="26">
        <f>VLOOKUP(2443,季財報!$A:$H,8,0)</f>
        <v>2</v>
      </c>
      <c r="F388" s="183">
        <v>0.22244166666666665</v>
      </c>
      <c r="G388" s="180">
        <v>1115440000</v>
      </c>
      <c r="H388" s="180">
        <v>430145000</v>
      </c>
      <c r="I388" s="179">
        <v>2.5931720698834115</v>
      </c>
      <c r="J388" s="180">
        <v>0</v>
      </c>
    </row>
    <row r="389" spans="1:11">
      <c r="A389" s="65">
        <v>2444</v>
      </c>
      <c r="B389" s="174">
        <v>0.45</v>
      </c>
      <c r="C389" s="183">
        <v>1</v>
      </c>
      <c r="D389" s="176">
        <v>84444444.444444448</v>
      </c>
      <c r="E389" s="26">
        <f>VLOOKUP(2444,季財報!$A:$H,8,0)</f>
        <v>4</v>
      </c>
      <c r="F389" s="183">
        <v>-2.8333333333333395E-4</v>
      </c>
      <c r="G389" s="176">
        <v>705111111.11111116</v>
      </c>
      <c r="H389" s="176">
        <v>1650670000</v>
      </c>
      <c r="I389" s="174">
        <v>0.42716661180678828</v>
      </c>
      <c r="J389" s="176">
        <v>4.6388888888888884</v>
      </c>
    </row>
    <row r="390" spans="1:11">
      <c r="A390" s="65">
        <v>2448</v>
      </c>
      <c r="B390" s="174">
        <v>-0.96</v>
      </c>
      <c r="C390" s="183">
        <v>1</v>
      </c>
      <c r="D390" s="176">
        <v>1079166666.6666667</v>
      </c>
      <c r="E390" s="26">
        <f>VLOOKUP(2448,季財報!$A:$H,8,0)</f>
        <v>1</v>
      </c>
      <c r="F390" s="183">
        <v>1.2616666666666665E-2</v>
      </c>
      <c r="G390" s="176">
        <v>26439583333.333336</v>
      </c>
      <c r="H390" s="176">
        <v>25339142000</v>
      </c>
      <c r="I390" s="174">
        <v>1.043428515982638</v>
      </c>
      <c r="J390" s="176">
        <v>0</v>
      </c>
    </row>
    <row r="391" spans="1:11">
      <c r="A391" s="65">
        <v>2449</v>
      </c>
      <c r="B391" s="174">
        <v>0.46</v>
      </c>
      <c r="C391" s="183">
        <v>0.92459016393442628</v>
      </c>
      <c r="D391" s="176">
        <v>1173913043.4782608</v>
      </c>
      <c r="E391" s="26">
        <f>VLOOKUP(2449,季財報!$A:$H,8,0)</f>
        <v>1</v>
      </c>
      <c r="F391" s="183">
        <v>1.033333333333334E-3</v>
      </c>
      <c r="G391" s="176">
        <v>24123913043.47826</v>
      </c>
      <c r="H391" s="176">
        <v>17053858000</v>
      </c>
      <c r="I391" s="174">
        <v>1.4145721773617594</v>
      </c>
      <c r="J391" s="176">
        <v>12.079382516188714</v>
      </c>
    </row>
    <row r="392" spans="1:11">
      <c r="A392" s="65">
        <v>2450</v>
      </c>
      <c r="B392" s="174">
        <v>0.42</v>
      </c>
      <c r="C392" s="183">
        <v>0.53197674418604646</v>
      </c>
      <c r="D392" s="176">
        <v>254761904.76190478</v>
      </c>
      <c r="E392" s="26">
        <f>VLOOKUP(2450,季財報!$A:$H,8,0)</f>
        <v>3</v>
      </c>
      <c r="F392" s="183">
        <v>-2.3000000000000003E-2</v>
      </c>
      <c r="G392" s="176">
        <v>10241428571.428574</v>
      </c>
      <c r="H392" s="176">
        <v>35957079000</v>
      </c>
      <c r="I392" s="174">
        <v>0.2848237080500497</v>
      </c>
      <c r="J392" s="176">
        <v>44.980483996877446</v>
      </c>
    </row>
    <row r="393" spans="1:11">
      <c r="A393" s="65">
        <v>2451</v>
      </c>
      <c r="B393" s="174">
        <v>2.52</v>
      </c>
      <c r="C393" s="183">
        <v>0.67152821813570074</v>
      </c>
      <c r="D393" s="176">
        <v>430952380.95238096</v>
      </c>
      <c r="E393" s="26">
        <f>VLOOKUP(2451,季財報!$A:$H,8,0)</f>
        <v>3</v>
      </c>
      <c r="F393" s="183">
        <v>-4.5916666666666684E-3</v>
      </c>
      <c r="G393" s="176">
        <v>35984523809.523811</v>
      </c>
      <c r="H393" s="176">
        <v>24921026000</v>
      </c>
      <c r="I393" s="174">
        <v>1.4439423083754181</v>
      </c>
      <c r="J393" s="176">
        <v>12.335639717013654</v>
      </c>
    </row>
    <row r="394" spans="1:11">
      <c r="A394" s="65">
        <v>2453</v>
      </c>
      <c r="B394" s="174">
        <v>0.2</v>
      </c>
      <c r="C394" s="183">
        <v>0.63157894736842102</v>
      </c>
      <c r="D394" s="176">
        <v>100000000</v>
      </c>
      <c r="E394" s="26">
        <f>VLOOKUP(2453,季財報!$A:$H,8,0)</f>
        <v>3</v>
      </c>
      <c r="F394" s="183">
        <v>7.6391666666666677E-2</v>
      </c>
      <c r="G394" s="176">
        <v>1110000000</v>
      </c>
      <c r="H394" s="176">
        <v>3977588000</v>
      </c>
      <c r="I394" s="174">
        <v>0.27906359331333463</v>
      </c>
      <c r="J394" s="176">
        <v>21.96875</v>
      </c>
    </row>
    <row r="395" spans="1:11">
      <c r="A395" s="65">
        <v>2454</v>
      </c>
      <c r="B395" s="174">
        <v>5.09</v>
      </c>
      <c r="C395" s="183">
        <v>0.86066834451901564</v>
      </c>
      <c r="D395" s="176">
        <v>1562671905.6974461</v>
      </c>
      <c r="E395" s="26">
        <f>VLOOKUP(2454,季財報!$A:$H,8,0)</f>
        <v>1</v>
      </c>
      <c r="F395" s="183">
        <v>5.1891666666666676E-2</v>
      </c>
      <c r="G395" s="176">
        <v>429734774066.79767</v>
      </c>
      <c r="H395" s="176">
        <v>207627619000</v>
      </c>
      <c r="I395" s="174">
        <v>2.0697380056494201</v>
      </c>
      <c r="J395" s="176">
        <v>15.693473930943929</v>
      </c>
      <c r="K395" s="32"/>
    </row>
    <row r="396" spans="1:11">
      <c r="A396" s="65">
        <v>2455</v>
      </c>
      <c r="B396" s="174">
        <v>0.69</v>
      </c>
      <c r="C396" s="183">
        <v>0.86337209302325579</v>
      </c>
      <c r="D396" s="176">
        <v>247826086.95652175</v>
      </c>
      <c r="E396" s="26">
        <f>VLOOKUP(2455,季財報!$A:$H,8,0)</f>
        <v>2</v>
      </c>
      <c r="F396" s="183">
        <v>8.3333333333333523E-4</v>
      </c>
      <c r="G396" s="176">
        <v>9355434782.608696</v>
      </c>
      <c r="H396" s="176">
        <v>2305514000</v>
      </c>
      <c r="I396" s="174">
        <v>4.0578520809713998</v>
      </c>
      <c r="J396" s="176">
        <v>15.841994827502075</v>
      </c>
    </row>
    <row r="397" spans="1:11">
      <c r="A397" s="65">
        <v>2456</v>
      </c>
      <c r="B397" s="174">
        <v>1.2</v>
      </c>
      <c r="C397" s="183">
        <v>0.87804878048780488</v>
      </c>
      <c r="D397" s="176">
        <v>127500000</v>
      </c>
      <c r="E397" s="26">
        <f>VLOOKUP(2456,季財報!$A:$H,8,0)</f>
        <v>4</v>
      </c>
      <c r="F397" s="183">
        <v>2.4233333333333339E-2</v>
      </c>
      <c r="G397" s="176">
        <v>6591750000</v>
      </c>
      <c r="H397" s="176">
        <v>4672493000</v>
      </c>
      <c r="I397" s="174">
        <v>1.410756527618126</v>
      </c>
      <c r="J397" s="176">
        <v>12.266782407407408</v>
      </c>
    </row>
    <row r="398" spans="1:11">
      <c r="A398" s="65">
        <v>2457</v>
      </c>
      <c r="B398" s="174">
        <v>-0.24</v>
      </c>
      <c r="C398" s="183">
        <v>1</v>
      </c>
      <c r="D398" s="176">
        <v>279166666.66666669</v>
      </c>
      <c r="E398" s="26">
        <f>VLOOKUP(2457,季財報!$A:$H,8,0)</f>
        <v>2</v>
      </c>
      <c r="F398" s="183">
        <v>5.6500000000000022E-3</v>
      </c>
      <c r="G398" s="176">
        <v>3070833333.3333335</v>
      </c>
      <c r="H398" s="176">
        <v>11012940000</v>
      </c>
      <c r="I398" s="174">
        <v>0.27883865101719735</v>
      </c>
      <c r="J398" s="176">
        <v>0</v>
      </c>
    </row>
    <row r="399" spans="1:11">
      <c r="A399" s="65">
        <v>2458</v>
      </c>
      <c r="B399" s="174">
        <v>0.56999999999999995</v>
      </c>
      <c r="C399" s="183">
        <v>0.83080808080808077</v>
      </c>
      <c r="D399" s="176">
        <v>414035087.7192983</v>
      </c>
      <c r="E399" s="26">
        <f>VLOOKUP(2458,季財報!$A:$H,8,0)</f>
        <v>2</v>
      </c>
      <c r="F399" s="183">
        <v>6.6999999999999985E-3</v>
      </c>
      <c r="G399" s="176">
        <v>15484912280.701756</v>
      </c>
      <c r="H399" s="176">
        <v>6731481000</v>
      </c>
      <c r="I399" s="174">
        <v>2.3003722777649904</v>
      </c>
      <c r="J399" s="176">
        <v>19.744040953447449</v>
      </c>
    </row>
    <row r="400" spans="1:11">
      <c r="A400" s="65">
        <v>2459</v>
      </c>
      <c r="B400" s="174">
        <v>1.01</v>
      </c>
      <c r="C400" s="183">
        <v>0.7366071428571429</v>
      </c>
      <c r="D400" s="176">
        <v>110891089.10891089</v>
      </c>
      <c r="E400" s="26">
        <f>VLOOKUP(2459,季財報!$A:$H,8,0)</f>
        <v>1</v>
      </c>
      <c r="F400" s="183">
        <v>7.2750000000000011E-3</v>
      </c>
      <c r="G400" s="176">
        <v>3737029702.9702973</v>
      </c>
      <c r="H400" s="176">
        <v>11079163000</v>
      </c>
      <c r="I400" s="174">
        <v>0.33730252934903993</v>
      </c>
      <c r="J400" s="176">
        <v>11.324332433243324</v>
      </c>
    </row>
    <row r="401" spans="1:10">
      <c r="A401" s="65">
        <v>2460</v>
      </c>
      <c r="B401" s="174">
        <v>-0.14000000000000001</v>
      </c>
      <c r="C401" s="183">
        <v>1</v>
      </c>
      <c r="D401" s="176">
        <v>164285714.28571427</v>
      </c>
      <c r="E401" s="26">
        <f>VLOOKUP(2460,季財報!$A:$H,8,0)</f>
        <v>3</v>
      </c>
      <c r="F401" s="183">
        <v>2.5916666666666661E-2</v>
      </c>
      <c r="G401" s="176">
        <v>1503214285.7142856</v>
      </c>
      <c r="H401" s="176">
        <v>3757734000</v>
      </c>
      <c r="I401" s="174">
        <v>0.40003211661982613</v>
      </c>
      <c r="J401" s="176">
        <v>0</v>
      </c>
    </row>
    <row r="402" spans="1:10">
      <c r="A402" s="65">
        <v>2461</v>
      </c>
      <c r="B402" s="174">
        <v>0.46</v>
      </c>
      <c r="C402" s="183">
        <v>1</v>
      </c>
      <c r="D402" s="176">
        <v>143478260.86956522</v>
      </c>
      <c r="E402" s="26">
        <f>VLOOKUP(2461,季財報!$A:$H,8,0)</f>
        <v>3</v>
      </c>
      <c r="F402" s="183">
        <v>-2.2749999999999992E-3</v>
      </c>
      <c r="G402" s="176">
        <v>2001521739.1304348</v>
      </c>
      <c r="H402" s="176">
        <v>3995802000</v>
      </c>
      <c r="I402" s="174">
        <v>0.50090613577210152</v>
      </c>
      <c r="J402" s="176">
        <v>7.5815217391304337</v>
      </c>
    </row>
    <row r="403" spans="1:10">
      <c r="A403" s="65">
        <v>2462</v>
      </c>
      <c r="B403" s="174">
        <v>0.82</v>
      </c>
      <c r="C403" s="183">
        <v>0.2696629213483146</v>
      </c>
      <c r="D403" s="176">
        <v>104878048.78048781</v>
      </c>
      <c r="E403" s="26">
        <f>VLOOKUP(2462,季財報!$A:$H,8,0)</f>
        <v>2</v>
      </c>
      <c r="F403" s="183">
        <v>1.5441666666666671E-2</v>
      </c>
      <c r="G403" s="176">
        <v>1678048780.4878049</v>
      </c>
      <c r="H403" s="176">
        <v>4272112000</v>
      </c>
      <c r="I403" s="174">
        <v>0.39279138292437205</v>
      </c>
      <c r="J403" s="176">
        <v>18.089430894308943</v>
      </c>
    </row>
    <row r="404" spans="1:10">
      <c r="A404" s="65">
        <v>2464</v>
      </c>
      <c r="B404" s="174">
        <v>0.93</v>
      </c>
      <c r="C404" s="183">
        <v>0.93602693602693599</v>
      </c>
      <c r="D404" s="176">
        <v>191397849.46236557</v>
      </c>
      <c r="E404" s="26">
        <f>VLOOKUP(2464,季財報!$A:$H,8,0)</f>
        <v>3</v>
      </c>
      <c r="F404" s="183">
        <v>2.8058333333333327E-2</v>
      </c>
      <c r="G404" s="176">
        <v>5885483870.967741</v>
      </c>
      <c r="H404" s="176">
        <v>7829047000</v>
      </c>
      <c r="I404" s="174">
        <v>0.75174971755409581</v>
      </c>
      <c r="J404" s="176">
        <v>8.8310802970526794</v>
      </c>
    </row>
    <row r="405" spans="1:10">
      <c r="A405" s="65">
        <v>2465</v>
      </c>
      <c r="B405" s="174">
        <v>-0.37</v>
      </c>
      <c r="C405" s="183">
        <v>1</v>
      </c>
      <c r="D405" s="176">
        <v>108108108.1081081</v>
      </c>
      <c r="E405" s="26">
        <f>VLOOKUP(2465,季財報!$A:$H,8,0)</f>
        <v>2</v>
      </c>
      <c r="F405" s="183">
        <v>8.9341666666666666E-2</v>
      </c>
      <c r="G405" s="176">
        <v>1097297297.2972972</v>
      </c>
      <c r="H405" s="176">
        <v>2333137000</v>
      </c>
      <c r="I405" s="174">
        <v>0.47030984348424343</v>
      </c>
      <c r="J405" s="176">
        <v>0</v>
      </c>
    </row>
    <row r="406" spans="1:10">
      <c r="A406" s="65">
        <v>2466</v>
      </c>
      <c r="B406" s="174">
        <v>0.09</v>
      </c>
      <c r="C406" s="183">
        <v>1</v>
      </c>
      <c r="D406" s="176">
        <v>144444444.44444445</v>
      </c>
      <c r="E406" s="26">
        <f>VLOOKUP(2466,季財報!$A:$H,8,0)</f>
        <v>3</v>
      </c>
      <c r="F406" s="183">
        <v>3.9441666666666653E-2</v>
      </c>
      <c r="G406" s="176">
        <v>4391111111.1111107</v>
      </c>
      <c r="H406" s="176">
        <v>1253529000</v>
      </c>
      <c r="I406" s="174">
        <v>3.5029992214867871</v>
      </c>
      <c r="J406" s="176">
        <v>50</v>
      </c>
    </row>
    <row r="407" spans="1:10">
      <c r="A407" s="65">
        <v>2467</v>
      </c>
      <c r="B407" s="174">
        <v>0</v>
      </c>
      <c r="C407" s="183">
        <v>0</v>
      </c>
      <c r="D407" s="176">
        <v>0</v>
      </c>
      <c r="E407" s="26">
        <f>VLOOKUP(2467,季財報!$A:$H,8,0)</f>
        <v>0</v>
      </c>
      <c r="F407" s="183">
        <v>0.16686666666666664</v>
      </c>
      <c r="G407" s="176">
        <v>0</v>
      </c>
      <c r="H407" s="176">
        <v>3449999000</v>
      </c>
      <c r="I407" s="174">
        <v>0</v>
      </c>
      <c r="J407" s="176">
        <v>0</v>
      </c>
    </row>
    <row r="408" spans="1:10">
      <c r="A408" s="65">
        <v>2468</v>
      </c>
      <c r="B408" s="174">
        <v>0.19</v>
      </c>
      <c r="C408" s="183">
        <v>0.62962962962962965</v>
      </c>
      <c r="D408" s="176">
        <v>68421052.631578952</v>
      </c>
      <c r="E408" s="26">
        <f>VLOOKUP(2468,季財報!$A:$H,8,0)</f>
        <v>2</v>
      </c>
      <c r="F408" s="183">
        <v>6.8808333333333319E-2</v>
      </c>
      <c r="G408" s="176">
        <v>721842105.26315796</v>
      </c>
      <c r="H408" s="176">
        <v>1423535000</v>
      </c>
      <c r="I408" s="174">
        <v>0.50707717426207155</v>
      </c>
      <c r="J408" s="176">
        <v>22.047213622291022</v>
      </c>
    </row>
    <row r="409" spans="1:10">
      <c r="A409" s="65">
        <v>2471</v>
      </c>
      <c r="B409" s="174">
        <v>0.2</v>
      </c>
      <c r="C409" s="183">
        <v>0.10526315789473684</v>
      </c>
      <c r="D409" s="176">
        <v>50000000</v>
      </c>
      <c r="E409" s="26">
        <f>VLOOKUP(2471,季財報!$A:$H,8,0)</f>
        <v>3</v>
      </c>
      <c r="F409" s="183">
        <v>2.8450000000000003E-2</v>
      </c>
      <c r="G409" s="176">
        <v>690000000</v>
      </c>
      <c r="H409" s="176">
        <v>618175000</v>
      </c>
      <c r="I409" s="174">
        <v>1.1161887814939135</v>
      </c>
      <c r="J409" s="176">
        <v>50</v>
      </c>
    </row>
    <row r="410" spans="1:10">
      <c r="A410" s="65">
        <v>2472</v>
      </c>
      <c r="B410" s="174">
        <v>1.2</v>
      </c>
      <c r="C410" s="183">
        <v>0.65975103734439833</v>
      </c>
      <c r="D410" s="176">
        <v>140833333.33333334</v>
      </c>
      <c r="E410" s="26">
        <f>VLOOKUP(2472,季財報!$A:$H,8,0)</f>
        <v>3</v>
      </c>
      <c r="F410" s="183">
        <v>4.6666666666666926E-4</v>
      </c>
      <c r="G410" s="176">
        <v>4056000000.0000005</v>
      </c>
      <c r="H410" s="176">
        <v>5823724000</v>
      </c>
      <c r="I410" s="174">
        <v>0.69646157681923127</v>
      </c>
      <c r="J410" s="176">
        <v>9.0943396226415096</v>
      </c>
    </row>
    <row r="411" spans="1:10">
      <c r="A411" s="65">
        <v>2474</v>
      </c>
      <c r="B411" s="174">
        <v>10.58</v>
      </c>
      <c r="C411" s="183">
        <v>0.70091784195209317</v>
      </c>
      <c r="D411" s="176">
        <v>770699432.89224946</v>
      </c>
      <c r="E411" s="26">
        <f>VLOOKUP(2474,季財報!$A:$H,8,0)</f>
        <v>3</v>
      </c>
      <c r="F411" s="183">
        <v>4.9116666666666663E-2</v>
      </c>
      <c r="G411" s="176">
        <v>246623818525.51984</v>
      </c>
      <c r="H411" s="176">
        <v>78757042000</v>
      </c>
      <c r="I411" s="174">
        <v>3.1314510075876116</v>
      </c>
      <c r="J411" s="176">
        <v>10.787907255875901</v>
      </c>
    </row>
    <row r="412" spans="1:10">
      <c r="A412" s="65">
        <v>2475</v>
      </c>
      <c r="B412" s="174">
        <v>-0.56999999999999995</v>
      </c>
      <c r="C412" s="183">
        <v>1</v>
      </c>
      <c r="D412" s="176">
        <v>6435087719.2982464</v>
      </c>
      <c r="E412" s="26">
        <f>VLOOKUP(2475,季財報!$A:$H,8,0)</f>
        <v>2</v>
      </c>
      <c r="F412" s="183">
        <v>-8.9499999999999979E-3</v>
      </c>
      <c r="G412" s="176">
        <v>4504561403.5087719</v>
      </c>
      <c r="H412" s="176">
        <v>49746489000</v>
      </c>
      <c r="I412" s="174">
        <v>9.0550338205954026E-2</v>
      </c>
      <c r="J412" s="176">
        <v>0</v>
      </c>
    </row>
    <row r="413" spans="1:10">
      <c r="A413" s="65">
        <v>2476</v>
      </c>
      <c r="B413" s="174">
        <v>0.77</v>
      </c>
      <c r="C413" s="183">
        <v>0.56561085972850678</v>
      </c>
      <c r="D413" s="176">
        <v>180519480.51948053</v>
      </c>
      <c r="E413" s="26">
        <f>VLOOKUP(2476,季財報!$A:$H,8,0)</f>
        <v>3</v>
      </c>
      <c r="F413" s="183">
        <v>4.966666666666667E-3</v>
      </c>
      <c r="G413" s="176">
        <v>4115844155.8441563</v>
      </c>
      <c r="H413" s="176">
        <v>4706969000</v>
      </c>
      <c r="I413" s="174">
        <v>0.87441496977017619</v>
      </c>
      <c r="J413" s="176">
        <v>13.087792207792209</v>
      </c>
    </row>
    <row r="414" spans="1:10">
      <c r="A414" s="65">
        <v>2477</v>
      </c>
      <c r="B414" s="174">
        <v>0.63</v>
      </c>
      <c r="C414" s="183">
        <v>0.47530864197530864</v>
      </c>
      <c r="D414" s="176">
        <v>238095238.09523809</v>
      </c>
      <c r="E414" s="26">
        <f>VLOOKUP(2477,季財報!$A:$H,8,0)</f>
        <v>4</v>
      </c>
      <c r="F414" s="183">
        <v>2.2916666666666682E-2</v>
      </c>
      <c r="G414" s="176">
        <v>2976190476.1904759</v>
      </c>
      <c r="H414" s="176">
        <v>4113947000</v>
      </c>
      <c r="I414" s="174">
        <v>0.72343918776553906</v>
      </c>
      <c r="J414" s="176">
        <v>10.435992578849721</v>
      </c>
    </row>
    <row r="415" spans="1:10">
      <c r="A415" s="65">
        <v>2478</v>
      </c>
      <c r="B415" s="174">
        <v>0.4</v>
      </c>
      <c r="C415" s="183">
        <v>0.59060402684563762</v>
      </c>
      <c r="D415" s="176">
        <v>255000000</v>
      </c>
      <c r="E415" s="26">
        <f>VLOOKUP(2478,季財報!$A:$H,8,0)</f>
        <v>2</v>
      </c>
      <c r="F415" s="183">
        <v>2.0941666666666667E-2</v>
      </c>
      <c r="G415" s="176">
        <v>3735750000</v>
      </c>
      <c r="H415" s="176">
        <v>3922416000</v>
      </c>
      <c r="I415" s="174">
        <v>0.95241045314928352</v>
      </c>
      <c r="J415" s="176">
        <v>15.503196022727272</v>
      </c>
    </row>
    <row r="416" spans="1:10">
      <c r="A416" s="65">
        <v>2480</v>
      </c>
      <c r="B416" s="174">
        <v>0.55000000000000004</v>
      </c>
      <c r="C416" s="183">
        <v>0.86259541984732824</v>
      </c>
      <c r="D416" s="176">
        <v>132727272.72727272</v>
      </c>
      <c r="E416" s="26">
        <f>VLOOKUP(2480,季財報!$A:$H,8,0)</f>
        <v>3</v>
      </c>
      <c r="F416" s="183">
        <v>-3.1916666666666725E-3</v>
      </c>
      <c r="G416" s="176">
        <v>3331454545.4545455</v>
      </c>
      <c r="H416" s="176">
        <v>4639019000</v>
      </c>
      <c r="I416" s="174">
        <v>0.7181377238279355</v>
      </c>
      <c r="J416" s="176">
        <v>13.226468222043444</v>
      </c>
    </row>
    <row r="417" spans="1:11">
      <c r="A417" s="65">
        <v>2481</v>
      </c>
      <c r="B417" s="174">
        <v>0.49</v>
      </c>
      <c r="C417" s="183">
        <v>0.91417910447761197</v>
      </c>
      <c r="D417" s="176">
        <v>389795918.36734694</v>
      </c>
      <c r="E417" s="26">
        <f>VLOOKUP(2481,季財報!$A:$H,8,0)</f>
        <v>2</v>
      </c>
      <c r="F417" s="183">
        <v>3.9999999999999265E-4</v>
      </c>
      <c r="G417" s="176">
        <v>5807959183.6734695</v>
      </c>
      <c r="H417" s="176">
        <v>15554000000</v>
      </c>
      <c r="I417" s="174">
        <v>0.37340614527925098</v>
      </c>
      <c r="J417" s="176">
        <v>8.3157017909204498</v>
      </c>
    </row>
    <row r="418" spans="1:11">
      <c r="A418" s="65">
        <v>2482</v>
      </c>
      <c r="B418" s="174">
        <v>0.39</v>
      </c>
      <c r="C418" s="183">
        <v>1</v>
      </c>
      <c r="D418" s="176">
        <v>61538461.538461536</v>
      </c>
      <c r="E418" s="26">
        <f>VLOOKUP(2482,季財報!$A:$H,8,0)</f>
        <v>6</v>
      </c>
      <c r="F418" s="183">
        <v>9.9874999999999992E-2</v>
      </c>
      <c r="G418" s="176">
        <v>855384615.38461542</v>
      </c>
      <c r="H418" s="176">
        <v>858328000</v>
      </c>
      <c r="I418" s="174">
        <v>0.99657079273263305</v>
      </c>
      <c r="J418" s="176">
        <v>8.9102564102564106</v>
      </c>
    </row>
    <row r="419" spans="1:11">
      <c r="A419" s="65">
        <v>2483</v>
      </c>
      <c r="B419" s="174">
        <v>0.61</v>
      </c>
      <c r="C419" s="183">
        <v>0.21768707482993196</v>
      </c>
      <c r="D419" s="176">
        <v>111475409.83606558</v>
      </c>
      <c r="E419" s="26">
        <f>VLOOKUP(2483,季財報!$A:$H,8,0)</f>
        <v>2</v>
      </c>
      <c r="F419" s="183">
        <v>9.883333333333336E-3</v>
      </c>
      <c r="G419" s="176">
        <v>2296393442.622951</v>
      </c>
      <c r="H419" s="176">
        <v>1542611000</v>
      </c>
      <c r="I419" s="174">
        <v>1.488640650574222</v>
      </c>
      <c r="J419" s="176">
        <v>38.783299180327873</v>
      </c>
    </row>
    <row r="420" spans="1:11">
      <c r="A420" s="65">
        <v>2484</v>
      </c>
      <c r="B420" s="174">
        <v>0.66</v>
      </c>
      <c r="C420" s="183">
        <v>0.50617283950617287</v>
      </c>
      <c r="D420" s="176">
        <v>157575757.57575756</v>
      </c>
      <c r="E420" s="26">
        <f>VLOOKUP(2484,季財報!$A:$H,8,0)</f>
        <v>4</v>
      </c>
      <c r="F420" s="183">
        <v>1.308333333333335E-3</v>
      </c>
      <c r="G420" s="176">
        <v>3340606060.60606</v>
      </c>
      <c r="H420" s="176">
        <v>2825662000</v>
      </c>
      <c r="I420" s="174">
        <v>1.1822383783361421</v>
      </c>
      <c r="J420" s="176">
        <v>15.864745011086471</v>
      </c>
    </row>
    <row r="421" spans="1:11">
      <c r="A421" s="65">
        <v>2485</v>
      </c>
      <c r="B421" s="174">
        <v>1.1599999999999999</v>
      </c>
      <c r="C421" s="183">
        <v>0.39462809917355374</v>
      </c>
      <c r="D421" s="176">
        <v>317241379.31034487</v>
      </c>
      <c r="E421" s="26">
        <f>VLOOKUP(2485,季財報!$A:$H,8,0)</f>
        <v>5</v>
      </c>
      <c r="F421" s="183">
        <v>2.7108333333333335E-2</v>
      </c>
      <c r="G421" s="176">
        <v>15005517241.379313</v>
      </c>
      <c r="H421" s="176">
        <v>10168585000</v>
      </c>
      <c r="I421" s="174">
        <v>1.4756740727819371</v>
      </c>
      <c r="J421" s="176">
        <v>25.831828849972919</v>
      </c>
    </row>
    <row r="422" spans="1:11">
      <c r="A422" s="65">
        <v>2486</v>
      </c>
      <c r="B422" s="174">
        <v>-0.02</v>
      </c>
      <c r="C422" s="183">
        <v>1</v>
      </c>
      <c r="D422" s="176">
        <v>250000000</v>
      </c>
      <c r="E422" s="26">
        <f>VLOOKUP(2486,季財報!$A:$H,8,0)</f>
        <v>2</v>
      </c>
      <c r="F422" s="183">
        <v>-1.7166666666666684E-3</v>
      </c>
      <c r="G422" s="176">
        <v>2625000000</v>
      </c>
      <c r="H422" s="176">
        <v>6415616000</v>
      </c>
      <c r="I422" s="174">
        <v>0.40915790471250152</v>
      </c>
      <c r="J422" s="176">
        <v>0</v>
      </c>
    </row>
    <row r="423" spans="1:11">
      <c r="A423" s="65">
        <v>2488</v>
      </c>
      <c r="B423" s="174">
        <v>0.85</v>
      </c>
      <c r="C423" s="183">
        <v>0.8839285714285714</v>
      </c>
      <c r="D423" s="176">
        <v>80000000</v>
      </c>
      <c r="E423" s="26">
        <f>VLOOKUP(2488,季財報!$A:$H,8,0)</f>
        <v>4</v>
      </c>
      <c r="F423" s="183">
        <v>3.8625E-2</v>
      </c>
      <c r="G423" s="176">
        <v>2244000000</v>
      </c>
      <c r="H423" s="176">
        <v>2368889000</v>
      </c>
      <c r="I423" s="174">
        <v>0.94727950528707761</v>
      </c>
      <c r="J423" s="176">
        <v>9.3333333333333339</v>
      </c>
    </row>
    <row r="424" spans="1:11">
      <c r="A424" s="65">
        <v>2489</v>
      </c>
      <c r="B424" s="174">
        <v>0.61</v>
      </c>
      <c r="C424" s="183">
        <v>0</v>
      </c>
      <c r="D424" s="176">
        <v>834426229.50819671</v>
      </c>
      <c r="E424" s="26">
        <f>VLOOKUP(2489,季財報!$A:$H,8,0)</f>
        <v>2</v>
      </c>
      <c r="F424" s="183">
        <v>6.9058333333333347E-2</v>
      </c>
      <c r="G424" s="176">
        <v>13309098360.655737</v>
      </c>
      <c r="H424" s="176">
        <v>19170548000</v>
      </c>
      <c r="I424" s="174">
        <v>0.69424715248910662</v>
      </c>
      <c r="J424" s="176">
        <v>0</v>
      </c>
    </row>
    <row r="425" spans="1:11">
      <c r="A425" s="65">
        <v>2491</v>
      </c>
      <c r="B425" s="174">
        <v>-0.21</v>
      </c>
      <c r="C425" s="183">
        <v>0.66666666666666663</v>
      </c>
      <c r="D425" s="176">
        <v>61904761.90476191</v>
      </c>
      <c r="E425" s="26">
        <f>VLOOKUP(2491,季財報!$A:$H,8,0)</f>
        <v>1</v>
      </c>
      <c r="F425" s="183">
        <v>0.12274166666666668</v>
      </c>
      <c r="G425" s="176">
        <v>436428571.42857146</v>
      </c>
      <c r="H425" s="176">
        <v>430661000</v>
      </c>
      <c r="I425" s="174">
        <v>1.0133923699349872</v>
      </c>
      <c r="J425" s="176">
        <v>0</v>
      </c>
    </row>
    <row r="426" spans="1:11">
      <c r="A426" s="65">
        <v>2492</v>
      </c>
      <c r="B426" s="174">
        <v>0.62</v>
      </c>
      <c r="C426" s="183">
        <v>0.54024556616643926</v>
      </c>
      <c r="D426" s="176">
        <v>680645161.29032254</v>
      </c>
      <c r="E426" s="26">
        <f>VLOOKUP(2492,季財報!$A:$H,8,0)</f>
        <v>4</v>
      </c>
      <c r="F426" s="183">
        <v>1.4766666666666662E-2</v>
      </c>
      <c r="G426" s="176">
        <v>11945322580.645161</v>
      </c>
      <c r="H426" s="176">
        <v>15705920000</v>
      </c>
      <c r="I426" s="174">
        <v>0.76056178693417265</v>
      </c>
      <c r="J426" s="176">
        <v>13.098881964809387</v>
      </c>
    </row>
    <row r="427" spans="1:11">
      <c r="A427" s="65">
        <v>2493</v>
      </c>
      <c r="B427" s="174">
        <v>1.1100000000000001</v>
      </c>
      <c r="C427" s="183">
        <v>0.76646706586826352</v>
      </c>
      <c r="D427" s="176">
        <v>114414414.41441441</v>
      </c>
      <c r="E427" s="26">
        <f>VLOOKUP(2493,季財報!$A:$H,8,0)</f>
        <v>3</v>
      </c>
      <c r="F427" s="183">
        <v>-9.8083333333333338E-3</v>
      </c>
      <c r="G427" s="176">
        <v>2723063063.0630631</v>
      </c>
      <c r="H427" s="176">
        <v>2252510000</v>
      </c>
      <c r="I427" s="174">
        <v>1.2089016532947969</v>
      </c>
      <c r="J427" s="176">
        <v>6.9935951576576567</v>
      </c>
    </row>
    <row r="428" spans="1:11">
      <c r="A428" s="65">
        <v>2495</v>
      </c>
      <c r="B428" s="174">
        <v>0.42</v>
      </c>
      <c r="C428" s="183">
        <v>0.22068965517241379</v>
      </c>
      <c r="D428" s="176">
        <v>278571428.5714286</v>
      </c>
      <c r="E428" s="26">
        <f>VLOOKUP(2495,季財報!$A:$H,8,0)</f>
        <v>3</v>
      </c>
      <c r="F428" s="183">
        <v>-6.2166666666666646E-3</v>
      </c>
      <c r="G428" s="176">
        <v>3955714285.7142859</v>
      </c>
      <c r="H428" s="176">
        <v>1720444000</v>
      </c>
      <c r="I428" s="174">
        <v>2.299240362205504</v>
      </c>
      <c r="J428" s="176">
        <v>38.29985119047619</v>
      </c>
      <c r="K428" s="32"/>
    </row>
    <row r="429" spans="1:11">
      <c r="A429" s="65">
        <v>2496</v>
      </c>
      <c r="B429" s="174">
        <v>-0.04</v>
      </c>
      <c r="C429" s="183">
        <v>1</v>
      </c>
      <c r="D429" s="176">
        <v>50000000</v>
      </c>
      <c r="E429" s="26">
        <f>VLOOKUP(2496,季財報!$A:$H,8,0)</f>
        <v>2</v>
      </c>
      <c r="F429" s="183">
        <v>6.810833333333334E-2</v>
      </c>
      <c r="G429" s="176">
        <v>642500000</v>
      </c>
      <c r="H429" s="176">
        <v>120627000</v>
      </c>
      <c r="I429" s="174">
        <v>5.3263365581503308</v>
      </c>
      <c r="J429" s="176">
        <v>0</v>
      </c>
    </row>
    <row r="430" spans="1:11">
      <c r="A430" s="65">
        <v>2497</v>
      </c>
      <c r="B430" s="174">
        <v>0.64</v>
      </c>
      <c r="C430" s="183">
        <v>0.55932203389830504</v>
      </c>
      <c r="D430" s="176">
        <v>118750000</v>
      </c>
      <c r="E430" s="26">
        <f>VLOOKUP(2497,季財報!$A:$H,8,0)</f>
        <v>1</v>
      </c>
      <c r="F430" s="183">
        <v>-3.6475E-2</v>
      </c>
      <c r="G430" s="176">
        <v>4940000000</v>
      </c>
      <c r="H430" s="176">
        <v>3451179000</v>
      </c>
      <c r="I430" s="174">
        <v>1.4313948943245192</v>
      </c>
      <c r="J430" s="176">
        <v>29.053030303030308</v>
      </c>
      <c r="K430" s="32"/>
    </row>
    <row r="431" spans="1:11">
      <c r="A431" s="65">
        <v>2498</v>
      </c>
      <c r="B431" s="174">
        <v>-5.41</v>
      </c>
      <c r="C431" s="183">
        <v>0.81440332507393498</v>
      </c>
      <c r="D431" s="176">
        <v>827541589.64879847</v>
      </c>
      <c r="E431" s="26">
        <f>VLOOKUP(2498,季財報!$A:$H,8,0)</f>
        <v>1</v>
      </c>
      <c r="F431" s="183">
        <v>4.4499999999999861E-3</v>
      </c>
      <c r="G431" s="176">
        <v>69927264325.323471</v>
      </c>
      <c r="H431" s="176">
        <v>136997529000</v>
      </c>
      <c r="I431" s="174">
        <v>0.51042719409430715</v>
      </c>
      <c r="J431" s="176">
        <v>0</v>
      </c>
    </row>
    <row r="432" spans="1:11">
      <c r="A432" s="65">
        <v>2499</v>
      </c>
      <c r="B432" s="174">
        <v>0.2</v>
      </c>
      <c r="C432" s="183">
        <v>0.546875</v>
      </c>
      <c r="D432" s="176">
        <v>315000000</v>
      </c>
      <c r="E432" s="26">
        <f>VLOOKUP(2499,季財報!$A:$H,8,0)</f>
        <v>1</v>
      </c>
      <c r="F432" s="183">
        <v>-1.1708333333333334E-2</v>
      </c>
      <c r="G432" s="176">
        <v>6142500000</v>
      </c>
      <c r="H432" s="176">
        <v>8223770000</v>
      </c>
      <c r="I432" s="174">
        <v>0.74692020812838877</v>
      </c>
      <c r="J432" s="176">
        <v>44.571428571428569</v>
      </c>
    </row>
    <row r="433" spans="1:10">
      <c r="A433" s="65">
        <v>2601</v>
      </c>
      <c r="B433" s="174">
        <v>-3.22</v>
      </c>
      <c r="C433" s="183">
        <v>0</v>
      </c>
      <c r="D433" s="176">
        <v>370496894.40993786</v>
      </c>
      <c r="E433" s="26">
        <f>VLOOKUP(2601,季財報!$A:$H,8,0)</f>
        <v>0</v>
      </c>
      <c r="F433" s="183">
        <v>4.5750000000000001E-3</v>
      </c>
      <c r="G433" s="176">
        <v>3501195652.1739125</v>
      </c>
      <c r="H433" s="176">
        <v>8871444000</v>
      </c>
      <c r="I433" s="174">
        <v>0.39465904898615295</v>
      </c>
      <c r="J433" s="176">
        <v>0</v>
      </c>
    </row>
    <row r="434" spans="1:10">
      <c r="A434" s="65">
        <v>2603</v>
      </c>
      <c r="B434" s="174">
        <v>-0.69</v>
      </c>
      <c r="C434" s="183">
        <v>0.87222438644331901</v>
      </c>
      <c r="D434" s="176">
        <v>3498550724.6376815</v>
      </c>
      <c r="E434" s="26">
        <f>VLOOKUP(2603,季財報!$A:$H,8,0)</f>
        <v>1</v>
      </c>
      <c r="F434" s="183">
        <v>-1.5300000000000003E-2</v>
      </c>
      <c r="G434" s="176">
        <v>46005942028.985512</v>
      </c>
      <c r="H434" s="176">
        <v>137950668000</v>
      </c>
      <c r="I434" s="174">
        <v>0.33349560894468094</v>
      </c>
      <c r="J434" s="176">
        <v>0</v>
      </c>
    </row>
    <row r="435" spans="1:10">
      <c r="A435" s="65">
        <v>2605</v>
      </c>
      <c r="B435" s="174">
        <v>0.52</v>
      </c>
      <c r="C435" s="183">
        <v>1</v>
      </c>
      <c r="D435" s="176">
        <v>563461538.46153843</v>
      </c>
      <c r="E435" s="26">
        <f>VLOOKUP(2605,季財報!$A:$H,8,0)</f>
        <v>5</v>
      </c>
      <c r="F435" s="183">
        <v>1.2400000000000001E-2</v>
      </c>
      <c r="G435" s="176">
        <v>10198653846.153847</v>
      </c>
      <c r="H435" s="176">
        <v>5063344000</v>
      </c>
      <c r="I435" s="174">
        <v>2.0142131062305557</v>
      </c>
      <c r="J435" s="176">
        <v>8.7019230769230766</v>
      </c>
    </row>
    <row r="436" spans="1:10">
      <c r="A436" s="65">
        <v>2606</v>
      </c>
      <c r="B436" s="174">
        <v>0.5</v>
      </c>
      <c r="C436" s="183">
        <v>0</v>
      </c>
      <c r="D436" s="176">
        <v>856000000</v>
      </c>
      <c r="E436" s="26">
        <f>VLOOKUP(2606,季財報!$A:$H,8,0)</f>
        <v>3</v>
      </c>
      <c r="F436" s="183">
        <v>2.9583333333333371E-3</v>
      </c>
      <c r="G436" s="176">
        <v>24995200000</v>
      </c>
      <c r="H436" s="176">
        <v>8192291000</v>
      </c>
      <c r="I436" s="174">
        <v>3.0510634937162266</v>
      </c>
      <c r="J436" s="176">
        <v>0</v>
      </c>
    </row>
    <row r="437" spans="1:10">
      <c r="A437" s="65">
        <v>2607</v>
      </c>
      <c r="B437" s="174">
        <v>0.21</v>
      </c>
      <c r="C437" s="183">
        <v>0.7505518763796909</v>
      </c>
      <c r="D437" s="176">
        <v>1057142857.1428572</v>
      </c>
      <c r="E437" s="26">
        <f>VLOOKUP(2607,季財報!$A:$H,8,0)</f>
        <v>2</v>
      </c>
      <c r="F437" s="183">
        <v>-3.1333333333333313E-3</v>
      </c>
      <c r="G437" s="176">
        <v>14007142857.142859</v>
      </c>
      <c r="H437" s="176">
        <v>7338035000</v>
      </c>
      <c r="I437" s="174">
        <v>1.9088411076184371</v>
      </c>
      <c r="J437" s="176">
        <v>21.016281512605044</v>
      </c>
    </row>
    <row r="438" spans="1:10">
      <c r="A438" s="65">
        <v>2608</v>
      </c>
      <c r="B438" s="174">
        <v>0.66</v>
      </c>
      <c r="C438" s="183">
        <v>0.65205843293492693</v>
      </c>
      <c r="D438" s="176">
        <v>486363636.36363631</v>
      </c>
      <c r="E438" s="26">
        <f>VLOOKUP(2608,季財報!$A:$H,8,0)</f>
        <v>3</v>
      </c>
      <c r="F438" s="183">
        <v>1.5058333333333338E-2</v>
      </c>
      <c r="G438" s="176">
        <v>19138409090.909088</v>
      </c>
      <c r="H438" s="176">
        <v>8729111000</v>
      </c>
      <c r="I438" s="174">
        <v>2.192480894206648</v>
      </c>
      <c r="J438" s="176">
        <v>22.858845584151084</v>
      </c>
    </row>
    <row r="439" spans="1:10">
      <c r="A439" s="65">
        <v>2609</v>
      </c>
      <c r="B439" s="174">
        <v>-1.22</v>
      </c>
      <c r="C439" s="183">
        <v>0.7617813383600377</v>
      </c>
      <c r="D439" s="176">
        <v>3468852459.0163937</v>
      </c>
      <c r="E439" s="26">
        <f>VLOOKUP(2609,季財報!$A:$H,8,0)</f>
        <v>1</v>
      </c>
      <c r="F439" s="183">
        <v>-1.1899999999999999E-2</v>
      </c>
      <c r="G439" s="176">
        <v>29970885245.901642</v>
      </c>
      <c r="H439" s="176">
        <v>130817443000</v>
      </c>
      <c r="I439" s="174">
        <v>0.22910465575987174</v>
      </c>
      <c r="J439" s="176">
        <v>0</v>
      </c>
    </row>
    <row r="440" spans="1:10">
      <c r="A440" s="65">
        <v>2610</v>
      </c>
      <c r="B440" s="174">
        <v>0.39</v>
      </c>
      <c r="C440" s="183">
        <v>0.9237157797600738</v>
      </c>
      <c r="D440" s="176">
        <v>5471794871.7948713</v>
      </c>
      <c r="E440" s="26">
        <f>VLOOKUP(2610,季財報!$A:$H,8,0)</f>
        <v>4</v>
      </c>
      <c r="F440" s="183">
        <v>-5.4999999999999927E-4</v>
      </c>
      <c r="G440" s="176">
        <v>61831282051.282051</v>
      </c>
      <c r="H440" s="176">
        <v>147280327000</v>
      </c>
      <c r="I440" s="174">
        <v>0.41982037459274552</v>
      </c>
      <c r="J440" s="176">
        <v>7.8417949571795731</v>
      </c>
    </row>
    <row r="441" spans="1:10">
      <c r="A441" s="65">
        <v>2611</v>
      </c>
      <c r="B441" s="174">
        <v>0.18</v>
      </c>
      <c r="C441" s="183">
        <v>0</v>
      </c>
      <c r="D441" s="176">
        <v>0</v>
      </c>
      <c r="E441" s="26">
        <f>VLOOKUP(2611,季財報!$A:$H,8,0)</f>
        <v>2</v>
      </c>
      <c r="F441" s="183">
        <v>4.3666666666666689E-3</v>
      </c>
      <c r="G441" s="176">
        <v>0</v>
      </c>
      <c r="H441" s="176">
        <v>1367477000</v>
      </c>
      <c r="I441" s="174">
        <v>0</v>
      </c>
      <c r="J441" s="176">
        <v>0</v>
      </c>
    </row>
    <row r="442" spans="1:10">
      <c r="A442" s="65">
        <v>2612</v>
      </c>
      <c r="B442" s="174">
        <v>0.39</v>
      </c>
      <c r="C442" s="183">
        <v>1</v>
      </c>
      <c r="D442" s="176">
        <v>258974358.97435898</v>
      </c>
      <c r="E442" s="26">
        <f>VLOOKUP(2612,季財報!$A:$H,8,0)</f>
        <v>4</v>
      </c>
      <c r="F442" s="183">
        <v>-1.174999999999999E-3</v>
      </c>
      <c r="G442" s="176">
        <v>5451410256.4102564</v>
      </c>
      <c r="H442" s="176">
        <v>3402437000</v>
      </c>
      <c r="I442" s="174">
        <v>1.6022075519429915</v>
      </c>
      <c r="J442" s="176">
        <v>13.493589743589743</v>
      </c>
    </row>
    <row r="443" spans="1:10">
      <c r="A443" s="65">
        <v>2613</v>
      </c>
      <c r="B443" s="179">
        <v>-0.11</v>
      </c>
      <c r="C443" s="183">
        <v>1</v>
      </c>
      <c r="D443" s="180">
        <v>90909090.909090906</v>
      </c>
      <c r="E443" s="26">
        <f>VLOOKUP(2613,季財報!$A:$H,8,0)</f>
        <v>0</v>
      </c>
      <c r="F443" s="183">
        <v>5.0333333333333358E-3</v>
      </c>
      <c r="G443" s="180">
        <v>1259090909.090909</v>
      </c>
      <c r="H443" s="180">
        <v>2553494000</v>
      </c>
      <c r="I443" s="179">
        <v>0.49308551697826941</v>
      </c>
      <c r="J443" s="180">
        <v>0</v>
      </c>
    </row>
    <row r="444" spans="1:10">
      <c r="A444" s="65">
        <v>2614</v>
      </c>
      <c r="B444" s="174">
        <v>-0.42</v>
      </c>
      <c r="C444" s="183">
        <v>1</v>
      </c>
      <c r="D444" s="176">
        <v>690476190.47619045</v>
      </c>
      <c r="E444" s="26">
        <f>VLOOKUP(2614,季財報!$A:$H,8,0)</f>
        <v>3</v>
      </c>
      <c r="F444" s="183">
        <v>-1.6608333333333333E-2</v>
      </c>
      <c r="G444" s="176">
        <v>5164761904.7619047</v>
      </c>
      <c r="H444" s="176">
        <v>11681711000</v>
      </c>
      <c r="I444" s="174">
        <v>0.44212375265591697</v>
      </c>
      <c r="J444" s="176">
        <v>0</v>
      </c>
    </row>
    <row r="445" spans="1:10">
      <c r="A445" s="65">
        <v>2615</v>
      </c>
      <c r="B445" s="174">
        <v>0.48</v>
      </c>
      <c r="C445" s="183">
        <v>9.1546006539000468E-2</v>
      </c>
      <c r="D445" s="176">
        <v>2197916666.666667</v>
      </c>
      <c r="E445" s="26">
        <f>VLOOKUP(2615,季財報!$A:$H,8,0)</f>
        <v>2</v>
      </c>
      <c r="F445" s="183">
        <v>-1.1358333333333333E-2</v>
      </c>
      <c r="G445" s="176">
        <v>34946875000.000008</v>
      </c>
      <c r="H445" s="176">
        <v>66038399000</v>
      </c>
      <c r="I445" s="174">
        <v>0.52919022158608064</v>
      </c>
      <c r="J445" s="176">
        <v>50</v>
      </c>
    </row>
    <row r="446" spans="1:10">
      <c r="A446" s="65">
        <v>2616</v>
      </c>
      <c r="B446" s="174">
        <v>0.55000000000000004</v>
      </c>
      <c r="C446" s="183">
        <v>0.64102564102564108</v>
      </c>
      <c r="D446" s="176">
        <v>110909090.90909091</v>
      </c>
      <c r="E446" s="26">
        <f>VLOOKUP(2616,季財報!$A:$H,8,0)</f>
        <v>3</v>
      </c>
      <c r="F446" s="183">
        <v>-1.9125E-2</v>
      </c>
      <c r="G446" s="176">
        <v>2539818181.8181815</v>
      </c>
      <c r="H446" s="176">
        <v>16379067000</v>
      </c>
      <c r="I446" s="174">
        <v>0.15506488750660716</v>
      </c>
      <c r="J446" s="176">
        <v>16.238181818181815</v>
      </c>
    </row>
    <row r="447" spans="1:10">
      <c r="A447" s="65">
        <v>2617</v>
      </c>
      <c r="B447" s="174">
        <v>0.13</v>
      </c>
      <c r="C447" s="183">
        <v>0.73684210526315785</v>
      </c>
      <c r="D447" s="176">
        <v>400000000</v>
      </c>
      <c r="E447" s="26">
        <f>VLOOKUP(2617,季財報!$A:$H,8,0)</f>
        <v>3</v>
      </c>
      <c r="F447" s="183">
        <v>-1.1666666666666665E-3</v>
      </c>
      <c r="G447" s="176">
        <v>5000000000</v>
      </c>
      <c r="H447" s="176">
        <v>2740787000</v>
      </c>
      <c r="I447" s="174">
        <v>1.8242935332077976</v>
      </c>
      <c r="J447" s="176">
        <v>32.623626373626372</v>
      </c>
    </row>
    <row r="448" spans="1:10">
      <c r="A448" s="65">
        <v>2618</v>
      </c>
      <c r="B448" s="174">
        <v>0.6</v>
      </c>
      <c r="C448" s="183">
        <v>1</v>
      </c>
      <c r="D448" s="176">
        <v>3870000000</v>
      </c>
      <c r="E448" s="26">
        <f>VLOOKUP(2618,季財報!$A:$H,8,0)</f>
        <v>5</v>
      </c>
      <c r="F448" s="183">
        <v>2.5500000000000024E-3</v>
      </c>
      <c r="G448" s="176">
        <v>68305499999.999992</v>
      </c>
      <c r="H448" s="176">
        <v>136905504000</v>
      </c>
      <c r="I448" s="174">
        <v>0.49892442600408521</v>
      </c>
      <c r="J448" s="176">
        <v>7.3541666666666661</v>
      </c>
    </row>
    <row r="449" spans="1:10">
      <c r="A449" s="65">
        <v>2634</v>
      </c>
      <c r="B449" s="174">
        <v>0.87</v>
      </c>
      <c r="C449" s="183">
        <v>0.7167070217917676</v>
      </c>
      <c r="D449" s="176">
        <v>912643678.16091955</v>
      </c>
      <c r="E449" s="26">
        <f>VLOOKUP(2634,季財報!$A:$H,8,0)</f>
        <v>3</v>
      </c>
      <c r="F449" s="183">
        <v>4.5041666666666667E-2</v>
      </c>
      <c r="G449" s="176">
        <v>37965977011.494255</v>
      </c>
      <c r="H449" s="176">
        <v>28020347000</v>
      </c>
      <c r="I449" s="174">
        <v>1.3549431422635221</v>
      </c>
      <c r="J449" s="176">
        <v>16.679092885989437</v>
      </c>
    </row>
    <row r="450" spans="1:10">
      <c r="A450" s="65">
        <v>2636</v>
      </c>
      <c r="B450" s="174">
        <v>0.83</v>
      </c>
      <c r="C450" s="183">
        <v>0.77956989247311825</v>
      </c>
      <c r="D450" s="176">
        <v>106024096.38554217</v>
      </c>
      <c r="E450" s="26">
        <f>VLOOKUP(2636,季財報!$A:$H,8,0)</f>
        <v>2</v>
      </c>
      <c r="F450" s="183">
        <v>5.3833333333333329E-3</v>
      </c>
      <c r="G450" s="176">
        <v>3180722891.5662651</v>
      </c>
      <c r="H450" s="176">
        <v>10100009000</v>
      </c>
      <c r="I450" s="174">
        <v>0.31492277794665974</v>
      </c>
      <c r="J450" s="176">
        <v>11.591192355629415</v>
      </c>
    </row>
    <row r="451" spans="1:10">
      <c r="A451" s="65">
        <v>2637</v>
      </c>
      <c r="B451" s="174">
        <v>1.43</v>
      </c>
      <c r="C451" s="183">
        <v>0.94871794871794868</v>
      </c>
      <c r="D451" s="176">
        <v>507692307.69230771</v>
      </c>
      <c r="E451" s="26">
        <f>VLOOKUP(2637,季財報!$A:$H,8,0)</f>
        <v>6</v>
      </c>
      <c r="F451" s="183">
        <v>1.8116666666666666E-2</v>
      </c>
      <c r="G451" s="176">
        <v>18175384615.384613</v>
      </c>
      <c r="H451" s="176">
        <v>10733367000</v>
      </c>
      <c r="I451" s="174">
        <v>1.6933535036475147</v>
      </c>
      <c r="J451" s="176">
        <v>6.5970515970515979</v>
      </c>
    </row>
    <row r="452" spans="1:10">
      <c r="A452" s="65">
        <v>2640</v>
      </c>
      <c r="B452" s="174">
        <v>1.06</v>
      </c>
      <c r="C452" s="183">
        <v>1</v>
      </c>
      <c r="D452" s="176">
        <v>44339622.641509429</v>
      </c>
      <c r="E452" s="26">
        <f>VLOOKUP(2640,季財報!$A:$H,8,0)</f>
        <v>0</v>
      </c>
      <c r="F452" s="183">
        <v>3.783333333333333E-3</v>
      </c>
      <c r="G452" s="176">
        <v>3050566037.7358484</v>
      </c>
      <c r="H452" s="176">
        <v>1638910000</v>
      </c>
      <c r="I452" s="174">
        <v>1.8613383515481927</v>
      </c>
      <c r="J452" s="176">
        <v>16.226415094339622</v>
      </c>
    </row>
    <row r="453" spans="1:10">
      <c r="A453" s="65">
        <v>2641</v>
      </c>
      <c r="B453" s="174">
        <v>0.02</v>
      </c>
      <c r="C453" s="183">
        <v>1</v>
      </c>
      <c r="D453" s="176">
        <v>150000000</v>
      </c>
      <c r="E453" s="26">
        <f>VLOOKUP(2641,季財報!$A:$H,8,0)</f>
        <v>2</v>
      </c>
      <c r="F453" s="183">
        <v>2.2150000000000003E-2</v>
      </c>
      <c r="G453" s="176">
        <v>1350000000</v>
      </c>
      <c r="H453" s="176">
        <v>759191000</v>
      </c>
      <c r="I453" s="174">
        <v>1.7782086457821549</v>
      </c>
      <c r="J453" s="176">
        <v>50</v>
      </c>
    </row>
    <row r="454" spans="1:10">
      <c r="A454" s="65">
        <v>2642</v>
      </c>
      <c r="B454" s="174">
        <v>7.0000000000000007E-2</v>
      </c>
      <c r="C454" s="183">
        <v>0.22580645161290322</v>
      </c>
      <c r="D454" s="176">
        <v>99999999.999999985</v>
      </c>
      <c r="E454" s="26">
        <f>VLOOKUP(2642,季財報!$A:$H,8,0)</f>
        <v>3</v>
      </c>
      <c r="F454" s="183">
        <v>3.7416666666666653E-3</v>
      </c>
      <c r="G454" s="176">
        <v>3004999999.9999995</v>
      </c>
      <c r="H454" s="176">
        <v>2596689000</v>
      </c>
      <c r="I454" s="174">
        <v>1.1572429351377849</v>
      </c>
      <c r="J454" s="176">
        <v>50</v>
      </c>
    </row>
    <row r="455" spans="1:10">
      <c r="A455" s="65">
        <v>2701</v>
      </c>
      <c r="B455" s="174">
        <v>0.3</v>
      </c>
      <c r="C455" s="183">
        <v>0.1981981981981982</v>
      </c>
      <c r="D455" s="176">
        <v>393333333.33333337</v>
      </c>
      <c r="E455" s="26">
        <f>VLOOKUP(2701,季財報!$A:$H,8,0)</f>
        <v>6</v>
      </c>
      <c r="F455" s="183">
        <v>9.3500000000000041E-3</v>
      </c>
      <c r="G455" s="176">
        <v>5624666666.6666679</v>
      </c>
      <c r="H455" s="176">
        <v>398251000</v>
      </c>
      <c r="I455" s="174">
        <v>10</v>
      </c>
      <c r="J455" s="176">
        <v>50</v>
      </c>
    </row>
    <row r="456" spans="1:10">
      <c r="A456" s="65">
        <v>2702</v>
      </c>
      <c r="B456" s="174">
        <v>0.2</v>
      </c>
      <c r="C456" s="183">
        <v>1</v>
      </c>
      <c r="D456" s="176">
        <v>95000000</v>
      </c>
      <c r="E456" s="26">
        <f>VLOOKUP(2702,季財報!$A:$H,8,0)</f>
        <v>5</v>
      </c>
      <c r="F456" s="183">
        <v>8.5250000000000006E-2</v>
      </c>
      <c r="G456" s="176">
        <v>1444000000</v>
      </c>
      <c r="H456" s="176">
        <v>768316000</v>
      </c>
      <c r="I456" s="174">
        <v>1.8794350241306963</v>
      </c>
      <c r="J456" s="176">
        <v>18.999999999999996</v>
      </c>
    </row>
    <row r="457" spans="1:10">
      <c r="A457" s="65">
        <v>2704</v>
      </c>
      <c r="B457" s="174">
        <v>0.43</v>
      </c>
      <c r="C457" s="183">
        <v>0.49557522123893805</v>
      </c>
      <c r="D457" s="176">
        <v>362790697.67441863</v>
      </c>
      <c r="E457" s="26">
        <f>VLOOKUP(2704,季財報!$A:$H,8,0)</f>
        <v>2</v>
      </c>
      <c r="F457" s="183">
        <v>1.2974999999999999E-2</v>
      </c>
      <c r="G457" s="176">
        <v>10103720930.232559</v>
      </c>
      <c r="H457" s="176">
        <v>3599141000</v>
      </c>
      <c r="I457" s="174">
        <v>2.8072589904737155</v>
      </c>
      <c r="J457" s="176">
        <v>32.672861295681066</v>
      </c>
    </row>
    <row r="458" spans="1:10">
      <c r="A458" s="65">
        <v>2705</v>
      </c>
      <c r="B458" s="174">
        <v>7.0000000000000007E-2</v>
      </c>
      <c r="C458" s="183">
        <v>1</v>
      </c>
      <c r="D458" s="176">
        <v>328571428.57142854</v>
      </c>
      <c r="E458" s="26">
        <f>VLOOKUP(2705,季財報!$A:$H,8,0)</f>
        <v>2</v>
      </c>
      <c r="F458" s="183">
        <v>5.1833333333333323E-3</v>
      </c>
      <c r="G458" s="176">
        <v>3433571428.5714278</v>
      </c>
      <c r="H458" s="176">
        <v>2902127000</v>
      </c>
      <c r="I458" s="174">
        <v>1.1831223887071198</v>
      </c>
      <c r="J458" s="176">
        <v>37.321428571428562</v>
      </c>
    </row>
    <row r="459" spans="1:10">
      <c r="A459" s="65">
        <v>2706</v>
      </c>
      <c r="B459" s="179">
        <v>0.38</v>
      </c>
      <c r="C459" s="183">
        <v>0.19078947368421054</v>
      </c>
      <c r="D459" s="180">
        <v>415789473.68421054</v>
      </c>
      <c r="E459" s="26">
        <f>VLOOKUP(2706,季財報!$A:$H,8,0)</f>
        <v>4</v>
      </c>
      <c r="F459" s="183">
        <v>-6.5000000000000014E-3</v>
      </c>
      <c r="G459" s="180">
        <v>8003947368.4210529</v>
      </c>
      <c r="H459" s="180">
        <v>365926000</v>
      </c>
      <c r="I459" s="179">
        <v>10</v>
      </c>
      <c r="J459" s="180">
        <v>50</v>
      </c>
    </row>
    <row r="460" spans="1:10">
      <c r="A460" s="65">
        <v>2707</v>
      </c>
      <c r="B460" s="174">
        <v>1.68</v>
      </c>
      <c r="C460" s="183">
        <v>1</v>
      </c>
      <c r="D460" s="176">
        <v>126785714.28571428</v>
      </c>
      <c r="E460" s="26">
        <f>VLOOKUP(2707,季財報!$A:$H,8,0)</f>
        <v>1</v>
      </c>
      <c r="F460" s="183">
        <v>2.8583333333333343E-3</v>
      </c>
      <c r="G460" s="176">
        <v>28590178571.42857</v>
      </c>
      <c r="H460" s="176">
        <v>6672968000</v>
      </c>
      <c r="I460" s="174">
        <v>4.2844770979612923</v>
      </c>
      <c r="J460" s="176">
        <v>33.55654761904762</v>
      </c>
    </row>
    <row r="461" spans="1:10">
      <c r="A461" s="65">
        <v>2712</v>
      </c>
      <c r="B461" s="174">
        <v>0.43</v>
      </c>
      <c r="C461" s="183">
        <v>0.96825396825396826</v>
      </c>
      <c r="D461" s="176">
        <v>106976744.18604651</v>
      </c>
      <c r="E461" s="26">
        <f>VLOOKUP(2712,季財報!$A:$H,8,0)</f>
        <v>2</v>
      </c>
      <c r="F461" s="183">
        <v>4.7124999999999979E-2</v>
      </c>
      <c r="G461" s="176">
        <v>0</v>
      </c>
      <c r="H461" s="176">
        <v>561367000</v>
      </c>
      <c r="I461" s="174">
        <v>0</v>
      </c>
      <c r="J461" s="176">
        <v>0</v>
      </c>
    </row>
    <row r="462" spans="1:10">
      <c r="A462" s="65">
        <v>2718</v>
      </c>
      <c r="B462" s="174">
        <v>0.26</v>
      </c>
      <c r="C462" s="183">
        <v>0.83333333333333337</v>
      </c>
      <c r="D462" s="176">
        <v>23076923.076923076</v>
      </c>
      <c r="E462" s="26">
        <f>VLOOKUP(2718,季財報!$A:$H,8,0)</f>
        <v>3</v>
      </c>
      <c r="F462" s="183">
        <v>3.2433333333333321E-2</v>
      </c>
      <c r="G462" s="176">
        <v>814615384.61538458</v>
      </c>
      <c r="H462" s="176">
        <v>281988000</v>
      </c>
      <c r="I462" s="174">
        <v>2.8888299665779558</v>
      </c>
      <c r="J462" s="176">
        <v>40.730769230769226</v>
      </c>
    </row>
    <row r="463" spans="1:10">
      <c r="A463" s="65">
        <v>2719</v>
      </c>
      <c r="B463" s="174">
        <v>-0.24</v>
      </c>
      <c r="C463" s="183">
        <v>1</v>
      </c>
      <c r="D463" s="176">
        <v>37500000</v>
      </c>
      <c r="E463" s="26">
        <f>VLOOKUP(2719,季財報!$A:$H,8,0)</f>
        <v>0</v>
      </c>
      <c r="F463" s="183">
        <v>3.1208333333333324E-2</v>
      </c>
      <c r="G463" s="176">
        <v>658125000</v>
      </c>
      <c r="H463" s="176">
        <v>3027090000</v>
      </c>
      <c r="I463" s="174">
        <v>0.21741177170153514</v>
      </c>
      <c r="J463" s="176">
        <v>0</v>
      </c>
    </row>
    <row r="464" spans="1:10">
      <c r="A464" s="65">
        <v>2722</v>
      </c>
      <c r="B464" s="174">
        <v>0.93</v>
      </c>
      <c r="C464" s="183">
        <v>0.9850746268656716</v>
      </c>
      <c r="D464" s="176">
        <v>94623655.913978487</v>
      </c>
      <c r="E464" s="26">
        <f>VLOOKUP(2722,季財報!$A:$H,8,0)</f>
        <v>1</v>
      </c>
      <c r="F464" s="183">
        <v>4.7900000000000019E-2</v>
      </c>
      <c r="G464" s="176">
        <v>0</v>
      </c>
      <c r="H464" s="176">
        <v>728538000</v>
      </c>
      <c r="I464" s="174">
        <v>0</v>
      </c>
      <c r="J464" s="176">
        <v>0</v>
      </c>
    </row>
    <row r="465" spans="1:10">
      <c r="A465" s="65">
        <v>2723</v>
      </c>
      <c r="B465" s="174">
        <v>2.93</v>
      </c>
      <c r="C465" s="183">
        <v>1</v>
      </c>
      <c r="D465" s="176">
        <v>141296928.32764503</v>
      </c>
      <c r="E465" s="26">
        <f>VLOOKUP(2723,季財報!$A:$H,8,0)</f>
        <v>5</v>
      </c>
      <c r="F465" s="183">
        <v>1.4650000000000002E-2</v>
      </c>
      <c r="G465" s="176">
        <v>31014675767.918083</v>
      </c>
      <c r="H465" s="176">
        <v>20071002000</v>
      </c>
      <c r="I465" s="174">
        <v>1.545248003458825</v>
      </c>
      <c r="J465" s="176">
        <v>18.728668941979521</v>
      </c>
    </row>
    <row r="466" spans="1:10">
      <c r="A466" s="65">
        <v>2724</v>
      </c>
      <c r="B466" s="174">
        <v>-1.72</v>
      </c>
      <c r="C466" s="183">
        <v>0.88461538461538458</v>
      </c>
      <c r="D466" s="176">
        <v>38372093.023255818</v>
      </c>
      <c r="E466" s="26">
        <f>VLOOKUP(2724,季財報!$A:$H,8,0)</f>
        <v>3</v>
      </c>
      <c r="F466" s="183">
        <v>7.391666666666667E-3</v>
      </c>
      <c r="G466" s="176">
        <v>556395348.83720934</v>
      </c>
      <c r="H466" s="176">
        <v>934630000</v>
      </c>
      <c r="I466" s="174">
        <v>0.59531081694061749</v>
      </c>
      <c r="J466" s="176">
        <v>0</v>
      </c>
    </row>
    <row r="467" spans="1:10">
      <c r="A467" s="65">
        <v>2726</v>
      </c>
      <c r="B467" s="179">
        <v>1.33</v>
      </c>
      <c r="C467" s="183">
        <v>0.56521739130434778</v>
      </c>
      <c r="D467" s="180">
        <v>27067669.172932331</v>
      </c>
      <c r="E467" s="26">
        <f>VLOOKUP(2726,季財報!$A:$H,8,0)</f>
        <v>5</v>
      </c>
      <c r="F467" s="183">
        <v>2.1808333333333332E-2</v>
      </c>
      <c r="G467" s="180">
        <v>1556390977.443609</v>
      </c>
      <c r="H467" s="180">
        <v>1587663000</v>
      </c>
      <c r="I467" s="179">
        <v>0.98030311057422703</v>
      </c>
      <c r="J467" s="180">
        <v>19.122325043377675</v>
      </c>
    </row>
    <row r="468" spans="1:10">
      <c r="A468" s="65">
        <v>2727</v>
      </c>
      <c r="B468" s="174">
        <v>-0.04</v>
      </c>
      <c r="C468" s="183">
        <v>1</v>
      </c>
      <c r="D468" s="176">
        <v>75000000</v>
      </c>
      <c r="E468" s="26">
        <f>VLOOKUP(2727,季財報!$A:$H,8,0)</f>
        <v>1</v>
      </c>
      <c r="F468" s="183">
        <v>8.7333333333333343E-3</v>
      </c>
      <c r="G468" s="176">
        <v>11250000000</v>
      </c>
      <c r="H468" s="176">
        <v>16732537000</v>
      </c>
      <c r="I468" s="174">
        <v>0.67234275352267259</v>
      </c>
      <c r="J468" s="176">
        <v>0</v>
      </c>
    </row>
    <row r="469" spans="1:10">
      <c r="A469" s="65">
        <v>2729</v>
      </c>
      <c r="B469" s="174">
        <v>3.13</v>
      </c>
      <c r="C469" s="183">
        <v>0.95512820512820518</v>
      </c>
      <c r="D469" s="176">
        <v>23322683.706070289</v>
      </c>
      <c r="E469" s="26">
        <f>VLOOKUP(2729,季財報!$A:$H,8,0)</f>
        <v>2</v>
      </c>
      <c r="F469" s="183">
        <v>2.7516666666666662E-2</v>
      </c>
      <c r="G469" s="176">
        <v>5375878594.2492018</v>
      </c>
      <c r="H469" s="176">
        <v>3354823000</v>
      </c>
      <c r="I469" s="174">
        <v>1.6024328539088952</v>
      </c>
      <c r="J469" s="176">
        <v>19.275467976070502</v>
      </c>
    </row>
    <row r="470" spans="1:10">
      <c r="A470" s="65">
        <v>2731</v>
      </c>
      <c r="B470" s="174">
        <v>1.45</v>
      </c>
      <c r="C470" s="183">
        <v>0.76086956521739135</v>
      </c>
      <c r="D470" s="176">
        <v>69655172.413793102</v>
      </c>
      <c r="E470" s="26">
        <f>VLOOKUP(2731,季財報!$A:$H,8,0)</f>
        <v>1</v>
      </c>
      <c r="F470" s="183">
        <v>2.9666666666666675E-2</v>
      </c>
      <c r="G470" s="176">
        <v>8358620689.6551723</v>
      </c>
      <c r="H470" s="176">
        <v>20752208000</v>
      </c>
      <c r="I470" s="174">
        <v>0.40278223356546794</v>
      </c>
      <c r="J470" s="176">
        <v>27.192118226600982</v>
      </c>
    </row>
    <row r="471" spans="1:10">
      <c r="A471" s="65">
        <v>2732</v>
      </c>
      <c r="B471" s="174">
        <v>1.7</v>
      </c>
      <c r="C471" s="183">
        <v>0.69863013698630139</v>
      </c>
      <c r="D471" s="176">
        <v>27647058.823529411</v>
      </c>
      <c r="E471" s="26">
        <f>VLOOKUP(2732,季財報!$A:$H,8,0)</f>
        <v>4</v>
      </c>
      <c r="F471" s="183">
        <v>9.3916666666666662E-3</v>
      </c>
      <c r="G471" s="176">
        <v>2449529411.7647057</v>
      </c>
      <c r="H471" s="176">
        <v>1631571000</v>
      </c>
      <c r="I471" s="174">
        <v>1.5013317911170925</v>
      </c>
      <c r="J471" s="176">
        <v>18.649942329873124</v>
      </c>
    </row>
    <row r="472" spans="1:10">
      <c r="A472" s="65">
        <v>2734</v>
      </c>
      <c r="B472" s="174">
        <v>-0.34</v>
      </c>
      <c r="C472" s="183">
        <v>0.66666666666666663</v>
      </c>
      <c r="D472" s="176">
        <v>29411764.705882352</v>
      </c>
      <c r="E472" s="26">
        <f>VLOOKUP(2734,季財報!$A:$H,8,0)</f>
        <v>3</v>
      </c>
      <c r="F472" s="183">
        <v>1.55E-2</v>
      </c>
      <c r="G472" s="176">
        <v>0</v>
      </c>
      <c r="H472" s="176">
        <v>1756266000</v>
      </c>
      <c r="I472" s="174">
        <v>0</v>
      </c>
      <c r="J472" s="176">
        <v>0</v>
      </c>
    </row>
    <row r="473" spans="1:10">
      <c r="A473" s="65">
        <v>2841</v>
      </c>
      <c r="B473" s="174">
        <v>0.28000000000000003</v>
      </c>
      <c r="C473" s="183">
        <v>0</v>
      </c>
      <c r="D473" s="176">
        <v>703571428.57142854</v>
      </c>
      <c r="E473" s="26">
        <f>VLOOKUP(2841,季財報!$A:$H,8,0)</f>
        <v>1</v>
      </c>
      <c r="F473" s="183">
        <v>0.93849166666666672</v>
      </c>
      <c r="G473" s="176">
        <v>7352321428.5714273</v>
      </c>
      <c r="H473" s="176">
        <v>704118000</v>
      </c>
      <c r="I473" s="174">
        <v>10</v>
      </c>
      <c r="J473" s="176">
        <v>0</v>
      </c>
    </row>
    <row r="474" spans="1:10">
      <c r="A474" s="65">
        <v>2901</v>
      </c>
      <c r="B474" s="174">
        <v>0.28999999999999998</v>
      </c>
      <c r="C474" s="183">
        <v>0.8571428571428571</v>
      </c>
      <c r="D474" s="176">
        <v>72413793.103448287</v>
      </c>
      <c r="E474" s="26">
        <f>VLOOKUP(2901,季財報!$A:$H,8,0)</f>
        <v>3</v>
      </c>
      <c r="F474" s="183">
        <v>7.7658333333333315E-2</v>
      </c>
      <c r="G474" s="176">
        <v>1918965517.2413795</v>
      </c>
      <c r="H474" s="176">
        <v>156437000</v>
      </c>
      <c r="I474" s="174">
        <v>10</v>
      </c>
      <c r="J474" s="176">
        <v>26.652298850574713</v>
      </c>
    </row>
    <row r="475" spans="1:10">
      <c r="A475" s="65">
        <v>2903</v>
      </c>
      <c r="B475" s="174">
        <v>0.51</v>
      </c>
      <c r="C475" s="183">
        <v>0.33487833140208573</v>
      </c>
      <c r="D475" s="176">
        <v>1427450980.3921568</v>
      </c>
      <c r="E475" s="26">
        <f>VLOOKUP(2903,季財報!$A:$H,8,0)</f>
        <v>2</v>
      </c>
      <c r="F475" s="183">
        <v>1.1966666666666662E-2</v>
      </c>
      <c r="G475" s="176">
        <v>26550588235.294121</v>
      </c>
      <c r="H475" s="176">
        <v>45140109000</v>
      </c>
      <c r="I475" s="174">
        <v>0.58818174841567439</v>
      </c>
      <c r="J475" s="176">
        <v>27.226745369428052</v>
      </c>
    </row>
    <row r="476" spans="1:10">
      <c r="A476" s="65">
        <v>2904</v>
      </c>
      <c r="B476" s="174">
        <v>0.56999999999999995</v>
      </c>
      <c r="C476" s="183">
        <v>0.72941176470588232</v>
      </c>
      <c r="D476" s="176">
        <v>70175438.596491233</v>
      </c>
      <c r="E476" s="26">
        <f>VLOOKUP(2904,季財報!$A:$H,8,0)</f>
        <v>3</v>
      </c>
      <c r="F476" s="183">
        <v>6.8000000000000005E-3</v>
      </c>
      <c r="G476" s="176">
        <v>1807017543.8596492</v>
      </c>
      <c r="H476" s="176">
        <v>515400000</v>
      </c>
      <c r="I476" s="174">
        <v>3.5060487851370765</v>
      </c>
      <c r="J476" s="176">
        <v>15.483517260894173</v>
      </c>
    </row>
    <row r="477" spans="1:10">
      <c r="A477" s="65">
        <v>2906</v>
      </c>
      <c r="B477" s="174">
        <v>-0.1</v>
      </c>
      <c r="C477" s="183">
        <v>0.53846153846153844</v>
      </c>
      <c r="D477" s="176">
        <v>200000000</v>
      </c>
      <c r="E477" s="26">
        <f>VLOOKUP(2906,季財報!$A:$H,8,0)</f>
        <v>2</v>
      </c>
      <c r="F477" s="183">
        <v>3.1191666666666663E-2</v>
      </c>
      <c r="G477" s="176">
        <v>2370000000</v>
      </c>
      <c r="H477" s="176">
        <v>6028537000</v>
      </c>
      <c r="I477" s="174">
        <v>0.39313020721279474</v>
      </c>
      <c r="J477" s="176">
        <v>0</v>
      </c>
    </row>
    <row r="478" spans="1:10">
      <c r="A478" s="65">
        <v>2908</v>
      </c>
      <c r="B478" s="174">
        <v>0.3</v>
      </c>
      <c r="C478" s="183">
        <v>0.87786259541984735</v>
      </c>
      <c r="D478" s="176">
        <v>506666666.66666669</v>
      </c>
      <c r="E478" s="26">
        <f>VLOOKUP(2908,季財報!$A:$H,8,0)</f>
        <v>1</v>
      </c>
      <c r="F478" s="183">
        <v>4.8333333333333561E-4</v>
      </c>
      <c r="G478" s="176">
        <v>9930666666.6666679</v>
      </c>
      <c r="H478" s="176">
        <v>36254256000</v>
      </c>
      <c r="I478" s="174">
        <v>0.27391726551130074</v>
      </c>
      <c r="J478" s="176">
        <v>18.605797101449276</v>
      </c>
    </row>
    <row r="479" spans="1:10">
      <c r="A479" s="65">
        <v>2910</v>
      </c>
      <c r="B479" s="174">
        <v>7.0000000000000007E-2</v>
      </c>
      <c r="C479" s="183">
        <v>1</v>
      </c>
      <c r="D479" s="176">
        <v>185714285.7142857</v>
      </c>
      <c r="E479" s="26">
        <f>VLOOKUP(2910,季財報!$A:$H,8,0)</f>
        <v>1</v>
      </c>
      <c r="F479" s="183">
        <v>6.426666666666668E-2</v>
      </c>
      <c r="G479" s="176">
        <v>0</v>
      </c>
      <c r="H479" s="176">
        <v>657309000</v>
      </c>
      <c r="I479" s="174">
        <v>0</v>
      </c>
      <c r="J479" s="176">
        <v>0</v>
      </c>
    </row>
    <row r="480" spans="1:10">
      <c r="A480" s="65">
        <v>2911</v>
      </c>
      <c r="B480" s="174">
        <v>-0.02</v>
      </c>
      <c r="C480" s="183">
        <v>1</v>
      </c>
      <c r="D480" s="176">
        <v>250000000</v>
      </c>
      <c r="E480" s="26">
        <f>VLOOKUP(2911,季財報!$A:$H,8,0)</f>
        <v>1</v>
      </c>
      <c r="F480" s="183">
        <v>4.9250000000000101E-3</v>
      </c>
      <c r="G480" s="176">
        <v>4099999999.9999995</v>
      </c>
      <c r="H480" s="176">
        <v>9420574000</v>
      </c>
      <c r="I480" s="174">
        <v>0.4352176417275635</v>
      </c>
      <c r="J480" s="176">
        <v>0</v>
      </c>
    </row>
    <row r="481" spans="1:10">
      <c r="A481" s="65">
        <v>2912</v>
      </c>
      <c r="B481" s="174">
        <v>2.36</v>
      </c>
      <c r="C481" s="183">
        <v>0.69915712124486706</v>
      </c>
      <c r="D481" s="176">
        <v>1040677966.1016949</v>
      </c>
      <c r="E481" s="26">
        <f>VLOOKUP(2912,季財報!$A:$H,8,0)</f>
        <v>2</v>
      </c>
      <c r="F481" s="183">
        <v>4.2833333333333317E-3</v>
      </c>
      <c r="G481" s="176">
        <v>221664406779.66101</v>
      </c>
      <c r="H481" s="176">
        <v>205069985000</v>
      </c>
      <c r="I481" s="174">
        <v>1.0809207733626207</v>
      </c>
      <c r="J481" s="176">
        <v>32.272515914389757</v>
      </c>
    </row>
    <row r="482" spans="1:10">
      <c r="A482" s="65">
        <v>2913</v>
      </c>
      <c r="B482" s="174">
        <v>0.24</v>
      </c>
      <c r="C482" s="183">
        <v>0.13589743589743589</v>
      </c>
      <c r="D482" s="176">
        <v>795833333.33333337</v>
      </c>
      <c r="E482" s="26">
        <f>VLOOKUP(2913,季財報!$A:$H,8,0)</f>
        <v>1</v>
      </c>
      <c r="F482" s="183">
        <v>-5.4516666666666658E-2</v>
      </c>
      <c r="G482" s="176">
        <v>10902916666.666666</v>
      </c>
      <c r="H482" s="176">
        <v>1103563000</v>
      </c>
      <c r="I482" s="174">
        <v>9.8797410448399106</v>
      </c>
      <c r="J482" s="176">
        <v>50</v>
      </c>
    </row>
    <row r="483" spans="1:10">
      <c r="A483" s="65">
        <v>2915</v>
      </c>
      <c r="B483" s="174">
        <v>3</v>
      </c>
      <c r="C483" s="183">
        <v>0</v>
      </c>
      <c r="D483" s="176">
        <v>889333333.33333337</v>
      </c>
      <c r="E483" s="26">
        <f>VLOOKUP(2915,季財報!$A:$H,8,0)</f>
        <v>3</v>
      </c>
      <c r="F483" s="183">
        <v>0.22055833333333333</v>
      </c>
      <c r="G483" s="176">
        <v>53804666666.666672</v>
      </c>
      <c r="H483" s="176">
        <v>8205234000</v>
      </c>
      <c r="I483" s="174">
        <v>6.5573592010498025</v>
      </c>
      <c r="J483" s="176">
        <v>0</v>
      </c>
    </row>
    <row r="484" spans="1:10">
      <c r="A484" s="65">
        <v>2916</v>
      </c>
      <c r="B484" s="174">
        <v>-0.12</v>
      </c>
      <c r="C484" s="183">
        <v>0</v>
      </c>
      <c r="D484" s="176">
        <v>58333333.333333336</v>
      </c>
      <c r="E484" s="26">
        <f>VLOOKUP(2916,季財報!$A:$H,8,0)</f>
        <v>1</v>
      </c>
      <c r="F484" s="183">
        <v>3.339166666666666E-2</v>
      </c>
      <c r="G484" s="176">
        <v>1050000000</v>
      </c>
      <c r="H484" s="176">
        <v>1388864000</v>
      </c>
      <c r="I484" s="174">
        <v>0.75601354776277596</v>
      </c>
      <c r="J484" s="176">
        <v>0</v>
      </c>
    </row>
    <row r="485" spans="1:10">
      <c r="A485" s="65">
        <v>2923</v>
      </c>
      <c r="B485" s="174">
        <v>0.45</v>
      </c>
      <c r="C485" s="183">
        <v>1</v>
      </c>
      <c r="D485" s="176">
        <v>1722222222.2222221</v>
      </c>
      <c r="E485" s="26">
        <f>VLOOKUP(2923,季財報!$A:$H,8,0)</f>
        <v>4</v>
      </c>
      <c r="F485" s="183">
        <v>0.60717499999999991</v>
      </c>
      <c r="G485" s="176">
        <v>41419444444.444443</v>
      </c>
      <c r="H485" s="176">
        <v>14401838000</v>
      </c>
      <c r="I485" s="174">
        <v>2.8759832213391405</v>
      </c>
      <c r="J485" s="176">
        <v>13.361111111111111</v>
      </c>
    </row>
    <row r="486" spans="1:10">
      <c r="A486" s="65">
        <v>2924</v>
      </c>
      <c r="B486" s="174">
        <v>0.15</v>
      </c>
      <c r="C486" s="183">
        <v>0</v>
      </c>
      <c r="D486" s="176">
        <v>33333333.333333336</v>
      </c>
      <c r="E486" s="26">
        <f>VLOOKUP(2924,季財報!$A:$H,8,0)</f>
        <v>1</v>
      </c>
      <c r="F486" s="183">
        <v>-8.2416666666666645E-3</v>
      </c>
      <c r="G486" s="176">
        <v>1973333333.3333335</v>
      </c>
      <c r="H486" s="176">
        <v>1387630000</v>
      </c>
      <c r="I486" s="174">
        <v>1.4220889814527888</v>
      </c>
      <c r="J486" s="176">
        <v>0</v>
      </c>
    </row>
    <row r="487" spans="1:10">
      <c r="A487" s="65">
        <v>2926</v>
      </c>
      <c r="B487" s="174">
        <v>2.1800000000000002</v>
      </c>
      <c r="C487" s="183">
        <v>0.74251497005988021</v>
      </c>
      <c r="D487" s="176">
        <v>44954128.440366969</v>
      </c>
      <c r="E487" s="26">
        <f>VLOOKUP(2926,季財報!$A:$H,8,0)</f>
        <v>2</v>
      </c>
      <c r="F487" s="183">
        <v>3.0041666666666671E-2</v>
      </c>
      <c r="G487" s="176">
        <v>6967889908.2568798</v>
      </c>
      <c r="H487" s="176">
        <v>3657609000</v>
      </c>
      <c r="I487" s="174">
        <v>1.9050395786583201</v>
      </c>
      <c r="J487" s="176">
        <v>23.939220183486238</v>
      </c>
    </row>
    <row r="488" spans="1:10">
      <c r="A488" s="65">
        <v>2929</v>
      </c>
      <c r="B488" s="174">
        <v>2.67</v>
      </c>
      <c r="C488" s="183">
        <v>0.84750733137829914</v>
      </c>
      <c r="D488" s="176">
        <v>58052434.456928842</v>
      </c>
      <c r="E488" s="26">
        <f>VLOOKUP(2929,季財報!$A:$H,8,0)</f>
        <v>1</v>
      </c>
      <c r="F488" s="183">
        <v>0.16702499999999998</v>
      </c>
      <c r="G488" s="176">
        <v>9404494382.0224724</v>
      </c>
      <c r="H488" s="176">
        <v>5267308000</v>
      </c>
      <c r="I488" s="174">
        <v>1.785446072647066</v>
      </c>
      <c r="J488" s="176">
        <v>17.897826678589482</v>
      </c>
    </row>
    <row r="489" spans="1:10">
      <c r="A489" s="65">
        <v>3002</v>
      </c>
      <c r="B489" s="174">
        <v>0.05</v>
      </c>
      <c r="C489" s="183">
        <v>0.3125</v>
      </c>
      <c r="D489" s="176">
        <v>100000000</v>
      </c>
      <c r="E489" s="26">
        <f>VLOOKUP(3002,季財報!$A:$H,8,0)</f>
        <v>3</v>
      </c>
      <c r="F489" s="183">
        <v>4.5749999999999992E-2</v>
      </c>
      <c r="G489" s="176">
        <v>1030000000.0000001</v>
      </c>
      <c r="H489" s="176">
        <v>486152000</v>
      </c>
      <c r="I489" s="174">
        <v>2.1186789316921457</v>
      </c>
      <c r="J489" s="176">
        <v>50</v>
      </c>
    </row>
    <row r="490" spans="1:10">
      <c r="A490" s="65">
        <v>3003</v>
      </c>
      <c r="B490" s="174">
        <v>0.88</v>
      </c>
      <c r="C490" s="183">
        <v>0.75342465753424659</v>
      </c>
      <c r="D490" s="176">
        <v>155681818.18181819</v>
      </c>
      <c r="E490" s="26">
        <f>VLOOKUP(3003,季財報!$A:$H,8,0)</f>
        <v>2</v>
      </c>
      <c r="F490" s="183">
        <v>1.1591666666666662E-2</v>
      </c>
      <c r="G490" s="176">
        <v>6359602272.727273</v>
      </c>
      <c r="H490" s="176">
        <v>2965494000</v>
      </c>
      <c r="I490" s="174">
        <v>2.1445338526152042</v>
      </c>
      <c r="J490" s="176">
        <v>15.40315082644628</v>
      </c>
    </row>
    <row r="491" spans="1:10">
      <c r="A491" s="65">
        <v>3004</v>
      </c>
      <c r="B491" s="174">
        <v>1.32</v>
      </c>
      <c r="C491" s="183">
        <v>0.94017094017094016</v>
      </c>
      <c r="D491" s="176">
        <v>52272727.272727273</v>
      </c>
      <c r="E491" s="26">
        <f>VLOOKUP(3004,季財報!$A:$H,8,0)</f>
        <v>4</v>
      </c>
      <c r="F491" s="183">
        <v>5.3850000000000002E-2</v>
      </c>
      <c r="G491" s="176">
        <v>2922045454.5454545</v>
      </c>
      <c r="H491" s="176">
        <v>1478996000</v>
      </c>
      <c r="I491" s="174">
        <v>1.9756953058327775</v>
      </c>
      <c r="J491" s="176">
        <v>11.260847107438016</v>
      </c>
    </row>
    <row r="492" spans="1:10">
      <c r="A492" s="65">
        <v>3005</v>
      </c>
      <c r="B492" s="174">
        <v>0.44</v>
      </c>
      <c r="C492" s="183">
        <v>0.83364839319470696</v>
      </c>
      <c r="D492" s="176">
        <v>581818181.81818187</v>
      </c>
      <c r="E492" s="26">
        <f>VLOOKUP(3005,季財報!$A:$H,8,0)</f>
        <v>2</v>
      </c>
      <c r="F492" s="183">
        <v>2.0891666666666666E-2</v>
      </c>
      <c r="G492" s="176">
        <v>12829090909.09091</v>
      </c>
      <c r="H492" s="176">
        <v>18264400000</v>
      </c>
      <c r="I492" s="174">
        <v>0.7024096553454211</v>
      </c>
      <c r="J492" s="176">
        <v>15.028409090909092</v>
      </c>
    </row>
    <row r="493" spans="1:10">
      <c r="A493" s="65">
        <v>3006</v>
      </c>
      <c r="B493" s="174">
        <v>0.59</v>
      </c>
      <c r="C493" s="183">
        <v>0.27411167512690354</v>
      </c>
      <c r="D493" s="176">
        <v>266101694.91525427</v>
      </c>
      <c r="E493" s="26">
        <f>VLOOKUP(3006,季財報!$A:$H,8,0)</f>
        <v>2</v>
      </c>
      <c r="F493" s="183">
        <v>1.9333333333333366E-3</v>
      </c>
      <c r="G493" s="176">
        <v>7730254237.2881365</v>
      </c>
      <c r="H493" s="176">
        <v>9338024000</v>
      </c>
      <c r="I493" s="174">
        <v>0.82782548398763345</v>
      </c>
      <c r="J493" s="176">
        <v>44.906230382925301</v>
      </c>
    </row>
    <row r="494" spans="1:10">
      <c r="A494" s="65">
        <v>3008</v>
      </c>
      <c r="B494" s="174">
        <v>61.17</v>
      </c>
      <c r="C494" s="183">
        <v>0.87198772064466612</v>
      </c>
      <c r="D494" s="176">
        <v>134150727.48079124</v>
      </c>
      <c r="E494" s="26">
        <f>VLOOKUP(3008,季財報!$A:$H,8,0)</f>
        <v>3</v>
      </c>
      <c r="F494" s="183">
        <v>2.5549999999999989E-2</v>
      </c>
      <c r="G494" s="176">
        <v>364219225110.34821</v>
      </c>
      <c r="H494" s="176">
        <v>57591938000</v>
      </c>
      <c r="I494" s="174">
        <v>6.3241355953388512</v>
      </c>
      <c r="J494" s="176">
        <v>12.725093816157884</v>
      </c>
    </row>
    <row r="495" spans="1:10">
      <c r="A495" s="65">
        <v>3010</v>
      </c>
      <c r="B495" s="174">
        <v>1.24</v>
      </c>
      <c r="C495" s="183">
        <v>0.6470588235294118</v>
      </c>
      <c r="D495" s="176">
        <v>230645161.29032257</v>
      </c>
      <c r="E495" s="26">
        <f>VLOOKUP(3010,季財報!$A:$H,8,0)</f>
        <v>1</v>
      </c>
      <c r="F495" s="183">
        <v>1.0074999999999995E-2</v>
      </c>
      <c r="G495" s="176">
        <v>10390564516.129032</v>
      </c>
      <c r="H495" s="176">
        <v>39390443000</v>
      </c>
      <c r="I495" s="174">
        <v>0.26378389590919382</v>
      </c>
      <c r="J495" s="176">
        <v>14.036840175953078</v>
      </c>
    </row>
    <row r="496" spans="1:10">
      <c r="A496" s="65">
        <v>3011</v>
      </c>
      <c r="B496" s="174">
        <v>-0.33</v>
      </c>
      <c r="C496" s="183">
        <v>1</v>
      </c>
      <c r="D496" s="176">
        <v>115151515.15151514</v>
      </c>
      <c r="E496" s="26">
        <f>VLOOKUP(3011,季財報!$A:$H,8,0)</f>
        <v>1</v>
      </c>
      <c r="F496" s="183">
        <v>3.4499999999999947E-3</v>
      </c>
      <c r="G496" s="176">
        <v>693212121.21212113</v>
      </c>
      <c r="H496" s="176">
        <v>2086679000</v>
      </c>
      <c r="I496" s="174">
        <v>0.33220831819945529</v>
      </c>
      <c r="J496" s="176">
        <v>0</v>
      </c>
    </row>
    <row r="497" spans="1:10">
      <c r="A497" s="65">
        <v>3013</v>
      </c>
      <c r="B497" s="174">
        <v>0.4</v>
      </c>
      <c r="C497" s="183">
        <v>0.44047619047619047</v>
      </c>
      <c r="D497" s="176">
        <v>177500000</v>
      </c>
      <c r="E497" s="26">
        <f>VLOOKUP(3013,季財報!$A:$H,8,0)</f>
        <v>2</v>
      </c>
      <c r="F497" s="183">
        <v>3.4708333333333334E-2</v>
      </c>
      <c r="G497" s="176">
        <v>3159500000</v>
      </c>
      <c r="H497" s="176">
        <v>3219147000</v>
      </c>
      <c r="I497" s="174">
        <v>0.98147117854512389</v>
      </c>
      <c r="J497" s="176">
        <v>25.256756756756754</v>
      </c>
    </row>
    <row r="498" spans="1:10">
      <c r="A498" s="65">
        <v>3014</v>
      </c>
      <c r="B498" s="174">
        <v>0.74</v>
      </c>
      <c r="C498" s="183">
        <v>1</v>
      </c>
      <c r="D498" s="176">
        <v>154054054.05405405</v>
      </c>
      <c r="E498" s="26">
        <f>VLOOKUP(3014,季財報!$A:$H,8,0)</f>
        <v>3</v>
      </c>
      <c r="F498" s="183">
        <v>2.4658333333333327E-2</v>
      </c>
      <c r="G498" s="176">
        <v>4413648648.6486483</v>
      </c>
      <c r="H498" s="176">
        <v>3047579000</v>
      </c>
      <c r="I498" s="174">
        <v>1.4482474937150598</v>
      </c>
      <c r="J498" s="176">
        <v>9.6790540540540544</v>
      </c>
    </row>
    <row r="499" spans="1:10">
      <c r="A499" s="65">
        <v>3015</v>
      </c>
      <c r="B499" s="174">
        <v>0.7</v>
      </c>
      <c r="C499" s="183">
        <v>0</v>
      </c>
      <c r="D499" s="176">
        <v>210000000</v>
      </c>
      <c r="E499" s="26">
        <f>VLOOKUP(3015,季財報!$A:$H,8,0)</f>
        <v>3</v>
      </c>
      <c r="F499" s="183">
        <v>1.0283333333333334E-2</v>
      </c>
      <c r="G499" s="176">
        <v>4420500000</v>
      </c>
      <c r="H499" s="176">
        <v>13908004000</v>
      </c>
      <c r="I499" s="174">
        <v>0.31783856260035587</v>
      </c>
      <c r="J499" s="176">
        <v>0</v>
      </c>
    </row>
    <row r="500" spans="1:10">
      <c r="A500" s="65">
        <v>3016</v>
      </c>
      <c r="B500" s="174">
        <v>0.26</v>
      </c>
      <c r="C500" s="183">
        <v>0.30303030303030304</v>
      </c>
      <c r="D500" s="176">
        <v>92307692.307692304</v>
      </c>
      <c r="E500" s="26">
        <f>VLOOKUP(3016,季財報!$A:$H,8,0)</f>
        <v>2</v>
      </c>
      <c r="F500" s="183">
        <v>-2.4308333333333335E-2</v>
      </c>
      <c r="G500" s="176">
        <v>1393846153.8461537</v>
      </c>
      <c r="H500" s="176">
        <v>827106000</v>
      </c>
      <c r="I500" s="174">
        <v>1.6852086115276079</v>
      </c>
      <c r="J500" s="176">
        <v>47.913461538461533</v>
      </c>
    </row>
    <row r="501" spans="1:10">
      <c r="A501" s="65">
        <v>3017</v>
      </c>
      <c r="B501" s="174">
        <v>0.62</v>
      </c>
      <c r="C501" s="183">
        <v>0.77628032345013476</v>
      </c>
      <c r="D501" s="176">
        <v>353225806.45161289</v>
      </c>
      <c r="E501" s="26">
        <f>VLOOKUP(3017,季財報!$A:$H,8,0)</f>
        <v>3</v>
      </c>
      <c r="F501" s="183">
        <v>1.5116666666666667E-2</v>
      </c>
      <c r="G501" s="176">
        <v>9643064516.1290321</v>
      </c>
      <c r="H501" s="176">
        <v>25331218000</v>
      </c>
      <c r="I501" s="174">
        <v>0.38067907023377368</v>
      </c>
      <c r="J501" s="176">
        <v>14.180527553763442</v>
      </c>
    </row>
    <row r="502" spans="1:10">
      <c r="A502" s="65">
        <v>3018</v>
      </c>
      <c r="B502" s="174">
        <v>-0.05</v>
      </c>
      <c r="C502" s="183">
        <v>1</v>
      </c>
      <c r="D502" s="176">
        <v>40000000</v>
      </c>
      <c r="E502" s="26">
        <f>VLOOKUP(3018,季財報!$A:$H,8,0)</f>
        <v>0</v>
      </c>
      <c r="F502" s="183">
        <v>1.015833333333333E-2</v>
      </c>
      <c r="G502" s="176">
        <v>702000000</v>
      </c>
      <c r="H502" s="176">
        <v>1243101000</v>
      </c>
      <c r="I502" s="174">
        <v>0.56471678487910471</v>
      </c>
      <c r="J502" s="176">
        <v>0</v>
      </c>
    </row>
    <row r="503" spans="1:10">
      <c r="A503" s="65">
        <v>3019</v>
      </c>
      <c r="B503" s="174">
        <v>0.64</v>
      </c>
      <c r="C503" s="183">
        <v>0.7416666666666667</v>
      </c>
      <c r="D503" s="176">
        <v>282812500</v>
      </c>
      <c r="E503" s="26">
        <f>VLOOKUP(3019,季財報!$A:$H,8,0)</f>
        <v>4</v>
      </c>
      <c r="F503" s="183">
        <v>2.2358333333333341E-2</v>
      </c>
      <c r="G503" s="176">
        <v>9530781250</v>
      </c>
      <c r="H503" s="176">
        <v>18239113000</v>
      </c>
      <c r="I503" s="174">
        <v>0.52254631297037302</v>
      </c>
      <c r="J503" s="176">
        <v>17.749297752808989</v>
      </c>
    </row>
    <row r="504" spans="1:10">
      <c r="A504" s="65">
        <v>3021</v>
      </c>
      <c r="B504" s="174">
        <v>0.28999999999999998</v>
      </c>
      <c r="C504" s="183">
        <v>0.660377358490566</v>
      </c>
      <c r="D504" s="176">
        <v>103448275.86206897</v>
      </c>
      <c r="E504" s="26">
        <f>VLOOKUP(3021,季財報!$A:$H,8,0)</f>
        <v>3</v>
      </c>
      <c r="F504" s="183">
        <v>3.7566666666666672E-2</v>
      </c>
      <c r="G504" s="176">
        <v>1225862068.9655173</v>
      </c>
      <c r="H504" s="176">
        <v>1749869000</v>
      </c>
      <c r="I504" s="174">
        <v>0.70054505163844683</v>
      </c>
      <c r="J504" s="176">
        <v>15.4692118226601</v>
      </c>
    </row>
    <row r="505" spans="1:10">
      <c r="A505" s="65">
        <v>3022</v>
      </c>
      <c r="B505" s="174">
        <v>0.88</v>
      </c>
      <c r="C505" s="183">
        <v>0.75732899022801303</v>
      </c>
      <c r="D505" s="176">
        <v>328409090.90909094</v>
      </c>
      <c r="E505" s="26">
        <f>VLOOKUP(3022,季財報!$A:$H,8,0)</f>
        <v>2</v>
      </c>
      <c r="F505" s="183">
        <v>3.7041666666666667E-2</v>
      </c>
      <c r="G505" s="176">
        <v>13481193181.818182</v>
      </c>
      <c r="H505" s="176">
        <v>6848901000</v>
      </c>
      <c r="I505" s="174">
        <v>1.9683732005789223</v>
      </c>
      <c r="J505" s="176">
        <v>15.398765884652981</v>
      </c>
    </row>
    <row r="506" spans="1:10">
      <c r="A506" s="65">
        <v>3023</v>
      </c>
      <c r="B506" s="174">
        <v>1.38</v>
      </c>
      <c r="C506" s="183">
        <v>0.69398907103825136</v>
      </c>
      <c r="D506" s="176">
        <v>214492753.62318844</v>
      </c>
      <c r="E506" s="26">
        <f>VLOOKUP(3023,季財報!$A:$H,8,0)</f>
        <v>3</v>
      </c>
      <c r="F506" s="183">
        <v>6.2500000000000021E-3</v>
      </c>
      <c r="G506" s="176">
        <v>13384347826.086958</v>
      </c>
      <c r="H506" s="176">
        <v>12305545000</v>
      </c>
      <c r="I506" s="174">
        <v>1.0876680249502935</v>
      </c>
      <c r="J506" s="176">
        <v>16.288942143101679</v>
      </c>
    </row>
    <row r="507" spans="1:10">
      <c r="A507" s="65">
        <v>3024</v>
      </c>
      <c r="B507" s="174">
        <v>-0.34</v>
      </c>
      <c r="C507" s="183">
        <v>1</v>
      </c>
      <c r="D507" s="176">
        <v>279411764.70588231</v>
      </c>
      <c r="E507" s="26">
        <f>VLOOKUP(3024,季財報!$A:$H,8,0)</f>
        <v>0</v>
      </c>
      <c r="F507" s="183">
        <v>-7.0750000000000023E-3</v>
      </c>
      <c r="G507" s="176">
        <v>1153970588.2352939</v>
      </c>
      <c r="H507" s="176">
        <v>5620850000</v>
      </c>
      <c r="I507" s="174">
        <v>0.20530179389866193</v>
      </c>
      <c r="J507" s="176">
        <v>0</v>
      </c>
    </row>
    <row r="508" spans="1:10">
      <c r="A508" s="65">
        <v>3025</v>
      </c>
      <c r="B508" s="174">
        <v>-0.06</v>
      </c>
      <c r="C508" s="183">
        <v>1</v>
      </c>
      <c r="D508" s="176">
        <v>83333333.333333343</v>
      </c>
      <c r="E508" s="26">
        <f>VLOOKUP(3025,季財報!$A:$H,8,0)</f>
        <v>0</v>
      </c>
      <c r="F508" s="183">
        <v>9.4358333333333322E-2</v>
      </c>
      <c r="G508" s="176">
        <v>675000000</v>
      </c>
      <c r="H508" s="176">
        <v>460776000</v>
      </c>
      <c r="I508" s="174">
        <v>1.4649200479191624</v>
      </c>
      <c r="J508" s="176">
        <v>0</v>
      </c>
    </row>
    <row r="509" spans="1:10">
      <c r="A509" s="65">
        <v>3026</v>
      </c>
      <c r="B509" s="174">
        <v>0.82</v>
      </c>
      <c r="C509" s="183">
        <v>0.91869918699186992</v>
      </c>
      <c r="D509" s="176">
        <v>223170731.70731708</v>
      </c>
      <c r="E509" s="26">
        <f>VLOOKUP(3026,季財報!$A:$H,8,0)</f>
        <v>0</v>
      </c>
      <c r="F509" s="183">
        <v>7.1666666666666634E-4</v>
      </c>
      <c r="G509" s="176">
        <v>7409268292.6829281</v>
      </c>
      <c r="H509" s="176">
        <v>13743210000</v>
      </c>
      <c r="I509" s="174">
        <v>0.53912210412872452</v>
      </c>
      <c r="J509" s="176">
        <v>11.01769911504425</v>
      </c>
    </row>
    <row r="510" spans="1:10">
      <c r="A510" s="65">
        <v>3027</v>
      </c>
      <c r="B510" s="174">
        <v>0.13</v>
      </c>
      <c r="C510" s="183">
        <v>0</v>
      </c>
      <c r="D510" s="176">
        <v>92307692.307692304</v>
      </c>
      <c r="E510" s="26">
        <f>VLOOKUP(3027,季財報!$A:$H,8,0)</f>
        <v>2</v>
      </c>
      <c r="F510" s="183">
        <v>8.3858333333333326E-2</v>
      </c>
      <c r="G510" s="176">
        <v>1126153846.153846</v>
      </c>
      <c r="H510" s="176">
        <v>1326418000</v>
      </c>
      <c r="I510" s="174">
        <v>0.84901882072909596</v>
      </c>
      <c r="J510" s="176">
        <v>0</v>
      </c>
    </row>
    <row r="511" spans="1:10">
      <c r="A511" s="65">
        <v>3028</v>
      </c>
      <c r="B511" s="174">
        <v>0.41</v>
      </c>
      <c r="C511" s="183">
        <v>1</v>
      </c>
      <c r="D511" s="176">
        <v>214634146.34146342</v>
      </c>
      <c r="E511" s="26">
        <f>VLOOKUP(3028,季財報!$A:$H,8,0)</f>
        <v>1</v>
      </c>
      <c r="F511" s="183">
        <v>1.2166666666666695E-3</v>
      </c>
      <c r="G511" s="176">
        <v>3423414634.1463413</v>
      </c>
      <c r="H511" s="176">
        <v>23723882000</v>
      </c>
      <c r="I511" s="174">
        <v>0.14430246424874063</v>
      </c>
      <c r="J511" s="176">
        <v>9.7256097560975618</v>
      </c>
    </row>
    <row r="512" spans="1:10">
      <c r="A512" s="65">
        <v>3029</v>
      </c>
      <c r="B512" s="174">
        <v>0.5</v>
      </c>
      <c r="C512" s="183">
        <v>0.93617021276595747</v>
      </c>
      <c r="D512" s="176">
        <v>120000000</v>
      </c>
      <c r="E512" s="26">
        <f>VLOOKUP(3029,季財報!$A:$H,8,0)</f>
        <v>2</v>
      </c>
      <c r="F512" s="183">
        <v>4.4008333333333323E-2</v>
      </c>
      <c r="G512" s="176">
        <v>2328000000</v>
      </c>
      <c r="H512" s="176">
        <v>5498555000</v>
      </c>
      <c r="I512" s="174">
        <v>0.42338396178632387</v>
      </c>
      <c r="J512" s="176">
        <v>10.361363636363635</v>
      </c>
    </row>
    <row r="513" spans="1:10">
      <c r="A513" s="65">
        <v>3030</v>
      </c>
      <c r="B513" s="174">
        <v>1.81</v>
      </c>
      <c r="C513" s="183">
        <v>0.84626647144948752</v>
      </c>
      <c r="D513" s="176">
        <v>236464088.39779004</v>
      </c>
      <c r="E513" s="26">
        <f>VLOOKUP(3030,季財報!$A:$H,8,0)</f>
        <v>1</v>
      </c>
      <c r="F513" s="183">
        <v>0.13988333333333339</v>
      </c>
      <c r="G513" s="176">
        <v>12461657458.563536</v>
      </c>
      <c r="H513" s="176">
        <v>4824247000</v>
      </c>
      <c r="I513" s="174">
        <v>2.5831300633163137</v>
      </c>
      <c r="J513" s="176">
        <v>8.6013162170945741</v>
      </c>
    </row>
    <row r="514" spans="1:10">
      <c r="A514" s="65">
        <v>3031</v>
      </c>
      <c r="B514" s="174">
        <v>0.26</v>
      </c>
      <c r="C514" s="183">
        <v>0.69565217391304346</v>
      </c>
      <c r="D514" s="176">
        <v>196153846.15384614</v>
      </c>
      <c r="E514" s="26">
        <f>VLOOKUP(3031,季財報!$A:$H,8,0)</f>
        <v>3</v>
      </c>
      <c r="F514" s="183">
        <v>5.7666666666666561E-3</v>
      </c>
      <c r="G514" s="176">
        <v>1902692307.6923075</v>
      </c>
      <c r="H514" s="176">
        <v>2088919000</v>
      </c>
      <c r="I514" s="174">
        <v>0.91085020898000713</v>
      </c>
      <c r="J514" s="176">
        <v>13.407451923076922</v>
      </c>
    </row>
    <row r="515" spans="1:10">
      <c r="A515" s="65">
        <v>3032</v>
      </c>
      <c r="B515" s="174">
        <v>0.84</v>
      </c>
      <c r="C515" s="183">
        <v>0.54782608695652169</v>
      </c>
      <c r="D515" s="176">
        <v>103571428.57142858</v>
      </c>
      <c r="E515" s="26">
        <f>VLOOKUP(3032,季財報!$A:$H,8,0)</f>
        <v>4</v>
      </c>
      <c r="F515" s="183">
        <v>4.6383333333333332E-2</v>
      </c>
      <c r="G515" s="176">
        <v>2268214285.7142859</v>
      </c>
      <c r="H515" s="176">
        <v>3511795000</v>
      </c>
      <c r="I515" s="174">
        <v>0.64588459341000426</v>
      </c>
      <c r="J515" s="176">
        <v>11.897675736961451</v>
      </c>
    </row>
    <row r="516" spans="1:10">
      <c r="A516" s="65">
        <v>3033</v>
      </c>
      <c r="B516" s="174">
        <v>0.45</v>
      </c>
      <c r="C516" s="183">
        <v>1</v>
      </c>
      <c r="D516" s="176">
        <v>277777777.77777779</v>
      </c>
      <c r="E516" s="26">
        <f>VLOOKUP(3033,季財報!$A:$H,8,0)</f>
        <v>3</v>
      </c>
      <c r="F516" s="183">
        <v>4.2758333333333336E-2</v>
      </c>
      <c r="G516" s="176">
        <v>5388888888.8888884</v>
      </c>
      <c r="H516" s="176">
        <v>38851589000</v>
      </c>
      <c r="I516" s="174">
        <v>0.13870446557253779</v>
      </c>
      <c r="J516" s="176">
        <v>10.777777777777777</v>
      </c>
    </row>
    <row r="517" spans="1:10">
      <c r="A517" s="65">
        <v>3034</v>
      </c>
      <c r="B517" s="174">
        <v>2.79</v>
      </c>
      <c r="C517" s="183">
        <v>0.90040841972981467</v>
      </c>
      <c r="D517" s="176">
        <v>608602150.53763437</v>
      </c>
      <c r="E517" s="26">
        <f>VLOOKUP(3034,季財報!$A:$H,8,0)</f>
        <v>3</v>
      </c>
      <c r="F517" s="183">
        <v>-1.4166666666666666E-2</v>
      </c>
      <c r="G517" s="176">
        <v>72423655913.978485</v>
      </c>
      <c r="H517" s="176">
        <v>52348337000</v>
      </c>
      <c r="I517" s="174">
        <v>1.3834948742302642</v>
      </c>
      <c r="J517" s="176">
        <v>11.842495253960035</v>
      </c>
    </row>
    <row r="518" spans="1:10">
      <c r="A518" s="65">
        <v>3035</v>
      </c>
      <c r="B518" s="174">
        <v>0.43</v>
      </c>
      <c r="C518" s="183">
        <v>0.9193083573487032</v>
      </c>
      <c r="D518" s="176">
        <v>390697674.41860467</v>
      </c>
      <c r="E518" s="26">
        <f>VLOOKUP(3035,季財報!$A:$H,8,0)</f>
        <v>1</v>
      </c>
      <c r="F518" s="183">
        <v>6.3833333333333346E-3</v>
      </c>
      <c r="G518" s="176">
        <v>18050232558.139538</v>
      </c>
      <c r="H518" s="176">
        <v>6443651000</v>
      </c>
      <c r="I518" s="174">
        <v>2.8012430465491596</v>
      </c>
      <c r="J518" s="176">
        <v>29.218123496391343</v>
      </c>
    </row>
    <row r="519" spans="1:10">
      <c r="A519" s="65">
        <v>3036</v>
      </c>
      <c r="B519" s="174">
        <v>1.1399999999999999</v>
      </c>
      <c r="C519" s="183">
        <v>1</v>
      </c>
      <c r="D519" s="176">
        <v>445614035.08771932</v>
      </c>
      <c r="E519" s="26">
        <f>VLOOKUP(3036,季財報!$A:$H,8,0)</f>
        <v>1</v>
      </c>
      <c r="F519" s="183">
        <v>7.6083333333333359E-3</v>
      </c>
      <c r="G519" s="176">
        <v>15685614035.087721</v>
      </c>
      <c r="H519" s="176">
        <v>115599589000</v>
      </c>
      <c r="I519" s="174">
        <v>0.13568918515002437</v>
      </c>
      <c r="J519" s="176">
        <v>7.719298245614036</v>
      </c>
    </row>
    <row r="520" spans="1:10">
      <c r="A520" s="65">
        <v>3037</v>
      </c>
      <c r="B520" s="174">
        <v>0.1</v>
      </c>
      <c r="C520" s="183">
        <v>0</v>
      </c>
      <c r="D520" s="176">
        <v>1580000000</v>
      </c>
      <c r="E520" s="26">
        <f>VLOOKUP(3037,季財報!$A:$H,8,0)</f>
        <v>3</v>
      </c>
      <c r="F520" s="183">
        <v>9.9916666666666661E-3</v>
      </c>
      <c r="G520" s="176">
        <v>23068000000</v>
      </c>
      <c r="H520" s="176">
        <v>63919791000</v>
      </c>
      <c r="I520" s="174">
        <v>0.36088979076918448</v>
      </c>
      <c r="J520" s="176">
        <v>0</v>
      </c>
    </row>
    <row r="521" spans="1:10">
      <c r="A521" s="65">
        <v>3038</v>
      </c>
      <c r="B521" s="174">
        <v>0.48</v>
      </c>
      <c r="C521" s="183">
        <v>0.4315068493150685</v>
      </c>
      <c r="D521" s="176">
        <v>214583333.33333334</v>
      </c>
      <c r="E521" s="26">
        <f>VLOOKUP(3038,季財報!$A:$H,8,0)</f>
        <v>3</v>
      </c>
      <c r="F521" s="183">
        <v>-6.2999999999999974E-3</v>
      </c>
      <c r="G521" s="176">
        <v>2242395833.3333335</v>
      </c>
      <c r="H521" s="176">
        <v>3435854000</v>
      </c>
      <c r="I521" s="174">
        <v>0.65264584389596692</v>
      </c>
      <c r="J521" s="176">
        <v>12.613260582010582</v>
      </c>
    </row>
    <row r="522" spans="1:10">
      <c r="A522" s="65">
        <v>3040</v>
      </c>
      <c r="B522" s="174">
        <v>0.86</v>
      </c>
      <c r="C522" s="183">
        <v>0</v>
      </c>
      <c r="D522" s="176">
        <v>62790697.674418606</v>
      </c>
      <c r="E522" s="26">
        <f>VLOOKUP(3040,季財報!$A:$H,8,0)</f>
        <v>2</v>
      </c>
      <c r="F522" s="183">
        <v>1.1724999999999994E-2</v>
      </c>
      <c r="G522" s="176">
        <v>2207093023.2558141</v>
      </c>
      <c r="H522" s="176">
        <v>231843000</v>
      </c>
      <c r="I522" s="174">
        <v>9.5197742578202238</v>
      </c>
      <c r="J522" s="176">
        <v>0</v>
      </c>
    </row>
    <row r="523" spans="1:10">
      <c r="A523" s="65">
        <v>3041</v>
      </c>
      <c r="B523" s="174">
        <v>0.11</v>
      </c>
      <c r="C523" s="183">
        <v>1</v>
      </c>
      <c r="D523" s="176">
        <v>281818181.81818181</v>
      </c>
      <c r="E523" s="26">
        <f>VLOOKUP(3041,季財報!$A:$H,8,0)</f>
        <v>2</v>
      </c>
      <c r="F523" s="183">
        <v>9.7666666666666666E-3</v>
      </c>
      <c r="G523" s="176">
        <v>5114999999.999999</v>
      </c>
      <c r="H523" s="176">
        <v>3574525000</v>
      </c>
      <c r="I523" s="174">
        <v>1.4309593582364089</v>
      </c>
      <c r="J523" s="176">
        <v>41.25</v>
      </c>
    </row>
    <row r="524" spans="1:10">
      <c r="A524" s="65">
        <v>3042</v>
      </c>
      <c r="B524" s="174">
        <v>0.92</v>
      </c>
      <c r="C524" s="183">
        <v>0.70626349892008644</v>
      </c>
      <c r="D524" s="176">
        <v>310869565.21739131</v>
      </c>
      <c r="E524" s="26">
        <f>VLOOKUP(3042,季財報!$A:$H,8,0)</f>
        <v>4</v>
      </c>
      <c r="F524" s="183">
        <v>5.033333333333335E-3</v>
      </c>
      <c r="G524" s="176">
        <v>11144673913.04348</v>
      </c>
      <c r="H524" s="176">
        <v>9246663000</v>
      </c>
      <c r="I524" s="174">
        <v>1.2052644195039313</v>
      </c>
      <c r="J524" s="176">
        <v>13.793503191065016</v>
      </c>
    </row>
    <row r="525" spans="1:10">
      <c r="A525" s="65">
        <v>3043</v>
      </c>
      <c r="B525" s="174">
        <v>-0.01</v>
      </c>
      <c r="C525" s="183">
        <v>0</v>
      </c>
      <c r="D525" s="176">
        <v>200000000</v>
      </c>
      <c r="E525" s="26">
        <f>VLOOKUP(3043,季財報!$A:$H,8,0)</f>
        <v>2</v>
      </c>
      <c r="F525" s="183">
        <v>1.285E-2</v>
      </c>
      <c r="G525" s="176">
        <v>680000000</v>
      </c>
      <c r="H525" s="176">
        <v>1402426000</v>
      </c>
      <c r="I525" s="174">
        <v>0.48487406822178142</v>
      </c>
      <c r="J525" s="176">
        <v>0</v>
      </c>
    </row>
    <row r="526" spans="1:10">
      <c r="A526" s="65">
        <v>3044</v>
      </c>
      <c r="B526" s="174">
        <v>1.81</v>
      </c>
      <c r="C526" s="183">
        <v>0.72535690006798093</v>
      </c>
      <c r="D526" s="176">
        <v>524309392.26519334</v>
      </c>
      <c r="E526" s="26">
        <f>VLOOKUP(3044,季財報!$A:$H,8,0)</f>
        <v>5</v>
      </c>
      <c r="F526" s="183">
        <v>5.6583333333333321E-3</v>
      </c>
      <c r="G526" s="176">
        <v>30409944751.381214</v>
      </c>
      <c r="H526" s="176">
        <v>43282789000</v>
      </c>
      <c r="I526" s="174">
        <v>0.70258745921805577</v>
      </c>
      <c r="J526" s="176">
        <v>11.044286920006005</v>
      </c>
    </row>
    <row r="527" spans="1:10" ht="16.5" customHeight="1">
      <c r="A527" s="65">
        <v>3045</v>
      </c>
      <c r="B527" s="174">
        <v>1.53</v>
      </c>
      <c r="C527" s="183">
        <v>1</v>
      </c>
      <c r="D527" s="176">
        <v>2718300653.5947714</v>
      </c>
      <c r="E527" s="26">
        <f>VLOOKUP(3045,季財報!$A:$H,8,0)</f>
        <v>4</v>
      </c>
      <c r="F527" s="183">
        <v>6.2749999999999985E-3</v>
      </c>
      <c r="G527" s="176">
        <v>273189215686.27454</v>
      </c>
      <c r="H527" s="176">
        <v>116330258000</v>
      </c>
      <c r="I527" s="174">
        <v>2.3483934479563739</v>
      </c>
      <c r="J527" s="176">
        <v>16.421568627450981</v>
      </c>
    </row>
    <row r="528" spans="1:10">
      <c r="A528" s="65">
        <v>3046</v>
      </c>
      <c r="B528" s="174">
        <v>-0.11</v>
      </c>
      <c r="C528" s="183">
        <v>1</v>
      </c>
      <c r="D528" s="176">
        <v>118181818.18181819</v>
      </c>
      <c r="E528" s="26">
        <f>VLOOKUP(3046,季財報!$A:$H,8,0)</f>
        <v>5</v>
      </c>
      <c r="F528" s="183">
        <v>5.7850000000000013E-2</v>
      </c>
      <c r="G528" s="176">
        <v>1217272727.2727275</v>
      </c>
      <c r="H528" s="176">
        <v>1488909000</v>
      </c>
      <c r="I528" s="174">
        <v>0.81756019157163229</v>
      </c>
      <c r="J528" s="176">
        <v>0</v>
      </c>
    </row>
    <row r="529" spans="1:11">
      <c r="A529" s="65">
        <v>3047</v>
      </c>
      <c r="B529" s="174">
        <v>0.46</v>
      </c>
      <c r="C529" s="183">
        <v>0.30357142857142855</v>
      </c>
      <c r="D529" s="176">
        <v>195652173.91304347</v>
      </c>
      <c r="E529" s="26">
        <f>VLOOKUP(3047,季財報!$A:$H,8,0)</f>
        <v>3</v>
      </c>
      <c r="F529" s="183">
        <v>-3.883333333333332E-3</v>
      </c>
      <c r="G529" s="176">
        <v>2171739130.4347825</v>
      </c>
      <c r="H529" s="176">
        <v>5669141000</v>
      </c>
      <c r="I529" s="174">
        <v>0.38308081073213429</v>
      </c>
      <c r="J529" s="176">
        <v>19.87212276214834</v>
      </c>
    </row>
    <row r="530" spans="1:11">
      <c r="A530" s="65">
        <v>3048</v>
      </c>
      <c r="B530" s="174">
        <v>0.68</v>
      </c>
      <c r="C530" s="183">
        <v>1</v>
      </c>
      <c r="D530" s="176">
        <v>201470588.2352941</v>
      </c>
      <c r="E530" s="26">
        <f>VLOOKUP(3048,季財報!$A:$H,8,0)</f>
        <v>2</v>
      </c>
      <c r="F530" s="183">
        <v>9.9916666666666678E-3</v>
      </c>
      <c r="G530" s="176">
        <v>3888382352.9411764</v>
      </c>
      <c r="H530" s="176">
        <v>72561758000</v>
      </c>
      <c r="I530" s="174">
        <v>5.3587212605036065E-2</v>
      </c>
      <c r="J530" s="176">
        <v>7.0955882352941178</v>
      </c>
    </row>
    <row r="531" spans="1:11">
      <c r="A531" s="65">
        <v>3049</v>
      </c>
      <c r="B531" s="174">
        <v>0.24</v>
      </c>
      <c r="C531" s="183">
        <v>1</v>
      </c>
      <c r="D531" s="176">
        <v>762500000</v>
      </c>
      <c r="E531" s="26">
        <f>VLOOKUP(3049,季財報!$A:$H,8,0)</f>
        <v>5</v>
      </c>
      <c r="F531" s="183">
        <v>1.5433333333333334E-2</v>
      </c>
      <c r="G531" s="176">
        <v>4567375000</v>
      </c>
      <c r="H531" s="176">
        <v>4337467000</v>
      </c>
      <c r="I531" s="174">
        <v>1.0530051294914751</v>
      </c>
      <c r="J531" s="176">
        <v>6.2395833333333339</v>
      </c>
    </row>
    <row r="532" spans="1:11">
      <c r="A532" s="65">
        <v>3050</v>
      </c>
      <c r="B532" s="174">
        <v>0.14000000000000001</v>
      </c>
      <c r="C532" s="183">
        <v>1.3157894736842105E-2</v>
      </c>
      <c r="D532" s="176">
        <v>171428571.4285714</v>
      </c>
      <c r="E532" s="26">
        <f>VLOOKUP(3050,季財報!$A:$H,8,0)</f>
        <v>2</v>
      </c>
      <c r="F532" s="183">
        <v>8.5333333333333355E-3</v>
      </c>
      <c r="G532" s="176">
        <v>1688571428.5714283</v>
      </c>
      <c r="H532" s="176">
        <v>920291000</v>
      </c>
      <c r="I532" s="174">
        <v>1.8348233641005163</v>
      </c>
      <c r="J532" s="176">
        <v>50</v>
      </c>
    </row>
    <row r="533" spans="1:11">
      <c r="A533" s="65">
        <v>3051</v>
      </c>
      <c r="B533" s="174">
        <v>0.41</v>
      </c>
      <c r="C533" s="183">
        <v>1</v>
      </c>
      <c r="D533" s="176">
        <v>326829268.29268295</v>
      </c>
      <c r="E533" s="26">
        <f>VLOOKUP(3051,季財報!$A:$H,8,0)</f>
        <v>2</v>
      </c>
      <c r="F533" s="183">
        <v>-3.4300000000000004E-2</v>
      </c>
      <c r="G533" s="176">
        <v>2320487804.8780489</v>
      </c>
      <c r="H533" s="176">
        <v>3886527000</v>
      </c>
      <c r="I533" s="174">
        <v>0.59705948392434915</v>
      </c>
      <c r="J533" s="176">
        <v>4.3292682926829267</v>
      </c>
    </row>
    <row r="534" spans="1:11" ht="16.5" customHeight="1">
      <c r="A534" s="65">
        <v>3052</v>
      </c>
      <c r="B534" s="174">
        <v>0.16</v>
      </c>
      <c r="C534" s="183">
        <v>1</v>
      </c>
      <c r="D534" s="176">
        <v>206250000</v>
      </c>
      <c r="E534" s="26">
        <f>VLOOKUP(3052,季財報!$A:$H,8,0)</f>
        <v>2</v>
      </c>
      <c r="F534" s="183">
        <v>0.19289999999999999</v>
      </c>
      <c r="G534" s="176">
        <v>2114062500</v>
      </c>
      <c r="H534" s="176">
        <v>3193610000</v>
      </c>
      <c r="I534" s="174">
        <v>0.66196639539580604</v>
      </c>
      <c r="J534" s="176">
        <v>16.015625</v>
      </c>
    </row>
    <row r="535" spans="1:11">
      <c r="A535" s="65">
        <v>3054</v>
      </c>
      <c r="B535" s="174">
        <v>-0.19</v>
      </c>
      <c r="C535" s="183">
        <v>1</v>
      </c>
      <c r="D535" s="176">
        <v>105263157.89473684</v>
      </c>
      <c r="E535" s="26">
        <f>VLOOKUP(3054,季財報!$A:$H,8,0)</f>
        <v>1</v>
      </c>
      <c r="F535" s="183">
        <v>-5.9824999999999989E-2</v>
      </c>
      <c r="G535" s="176">
        <v>1868421052.6315789</v>
      </c>
      <c r="H535" s="176">
        <v>1001457000</v>
      </c>
      <c r="I535" s="174">
        <v>1.8657027237630561</v>
      </c>
      <c r="J535" s="176">
        <v>0</v>
      </c>
    </row>
    <row r="536" spans="1:11">
      <c r="A536" s="65">
        <v>3055</v>
      </c>
      <c r="B536" s="174">
        <v>0.1</v>
      </c>
      <c r="C536" s="183">
        <v>0.91428571428571426</v>
      </c>
      <c r="D536" s="176">
        <v>130000000</v>
      </c>
      <c r="E536" s="26">
        <f>VLOOKUP(3055,季財報!$A:$H,8,0)</f>
        <v>0</v>
      </c>
      <c r="F536" s="183">
        <v>3.1749999999999994E-2</v>
      </c>
      <c r="G536" s="176">
        <v>2112500000</v>
      </c>
      <c r="H536" s="176">
        <v>2674580000</v>
      </c>
      <c r="I536" s="174">
        <v>0.78984363900126375</v>
      </c>
      <c r="J536" s="176">
        <v>44.43359375</v>
      </c>
    </row>
    <row r="537" spans="1:11">
      <c r="A537" s="65">
        <v>3056</v>
      </c>
      <c r="B537" s="174">
        <v>2.8</v>
      </c>
      <c r="C537" s="183">
        <v>0.97267759562841527</v>
      </c>
      <c r="D537" s="176">
        <v>199642857.14285716</v>
      </c>
      <c r="E537" s="26">
        <f>VLOOKUP(3056,季財報!$A:$H,8,0)</f>
        <v>0</v>
      </c>
      <c r="F537" s="183">
        <v>9.040166666666666</v>
      </c>
      <c r="G537" s="176">
        <v>2595357142.8571429</v>
      </c>
      <c r="H537" s="176">
        <v>4389356000</v>
      </c>
      <c r="I537" s="174">
        <v>0.59128426649766908</v>
      </c>
      <c r="J537" s="176">
        <v>1.1933186195826646</v>
      </c>
    </row>
    <row r="538" spans="1:11">
      <c r="A538" s="65">
        <v>3057</v>
      </c>
      <c r="B538" s="174">
        <v>0.12</v>
      </c>
      <c r="C538" s="183">
        <v>0</v>
      </c>
      <c r="D538" s="176">
        <v>166666666.66666669</v>
      </c>
      <c r="E538" s="26">
        <f>VLOOKUP(3057,季財報!$A:$H,8,0)</f>
        <v>2</v>
      </c>
      <c r="F538" s="183">
        <v>3.358333333333336E-3</v>
      </c>
      <c r="G538" s="176">
        <v>2850000000.0000005</v>
      </c>
      <c r="H538" s="176">
        <v>3109697000</v>
      </c>
      <c r="I538" s="174">
        <v>0.91648800510146178</v>
      </c>
      <c r="J538" s="176">
        <v>0</v>
      </c>
    </row>
    <row r="539" spans="1:11">
      <c r="A539" s="65">
        <v>3058</v>
      </c>
      <c r="B539" s="174">
        <v>7.0000000000000007E-2</v>
      </c>
      <c r="C539" s="183">
        <v>0.84210526315789469</v>
      </c>
      <c r="D539" s="176">
        <v>157142857.14285713</v>
      </c>
      <c r="E539" s="26">
        <f>VLOOKUP(3058,季財報!$A:$H,8,0)</f>
        <v>1</v>
      </c>
      <c r="F539" s="183">
        <v>1.080833333333333E-2</v>
      </c>
      <c r="G539" s="176">
        <v>1425285714.2857141</v>
      </c>
      <c r="H539" s="176">
        <v>5295064000</v>
      </c>
      <c r="I539" s="174">
        <v>0.26917251883748983</v>
      </c>
      <c r="J539" s="176">
        <v>38.466517857142854</v>
      </c>
    </row>
    <row r="540" spans="1:11">
      <c r="A540" s="65">
        <v>3059</v>
      </c>
      <c r="B540" s="179">
        <v>0.73</v>
      </c>
      <c r="C540" s="183">
        <v>0.89495798319327735</v>
      </c>
      <c r="D540" s="180">
        <v>269863013.69863015</v>
      </c>
      <c r="E540" s="26">
        <f>VLOOKUP(3059,季財報!$A:$H,8,0)</f>
        <v>3</v>
      </c>
      <c r="F540" s="183">
        <v>2.6191666666666665E-2</v>
      </c>
      <c r="G540" s="180">
        <v>8379246575.3424664</v>
      </c>
      <c r="H540" s="180">
        <v>12785213000</v>
      </c>
      <c r="I540" s="179">
        <v>0.65538576286077255</v>
      </c>
      <c r="J540" s="180">
        <v>11.88163225930928</v>
      </c>
    </row>
    <row r="541" spans="1:11">
      <c r="A541" s="65">
        <v>3060</v>
      </c>
      <c r="B541" s="174">
        <v>1.7</v>
      </c>
      <c r="C541" s="183">
        <v>6.6496163682864456E-2</v>
      </c>
      <c r="D541" s="176">
        <v>174117647.05882353</v>
      </c>
      <c r="E541" s="26">
        <f>VLOOKUP(3060,季財報!$A:$H,8,0)</f>
        <v>3</v>
      </c>
      <c r="F541" s="183">
        <v>3.4683333333333337E-2</v>
      </c>
      <c r="G541" s="176">
        <v>10098823529.411764</v>
      </c>
      <c r="H541" s="176">
        <v>7904206000</v>
      </c>
      <c r="I541" s="174">
        <v>1.2776518640090813</v>
      </c>
      <c r="J541" s="176">
        <v>50</v>
      </c>
    </row>
    <row r="542" spans="1:11">
      <c r="A542" s="65">
        <v>3062</v>
      </c>
      <c r="B542" s="174">
        <v>0.38</v>
      </c>
      <c r="C542" s="183">
        <v>1</v>
      </c>
      <c r="D542" s="176">
        <v>323684210.52631581</v>
      </c>
      <c r="E542" s="26">
        <f>VLOOKUP(3062,季財報!$A:$H,8,0)</f>
        <v>2</v>
      </c>
      <c r="F542" s="183">
        <v>7.6666666666666654E-3</v>
      </c>
      <c r="G542" s="176">
        <v>5518815789.4736843</v>
      </c>
      <c r="H542" s="176">
        <v>15000857000</v>
      </c>
      <c r="I542" s="174">
        <v>0.36790003327634441</v>
      </c>
      <c r="J542" s="176">
        <v>11.217105263157896</v>
      </c>
      <c r="K542" s="32"/>
    </row>
    <row r="543" spans="1:11">
      <c r="A543" s="65">
        <v>3064</v>
      </c>
      <c r="B543" s="174">
        <v>-0.57999999999999996</v>
      </c>
      <c r="C543" s="183">
        <v>1</v>
      </c>
      <c r="D543" s="176">
        <v>72413793.103448287</v>
      </c>
      <c r="E543" s="26">
        <f>VLOOKUP(3064,季財報!$A:$H,8,0)</f>
        <v>2</v>
      </c>
      <c r="F543" s="183">
        <v>0.46455000000000002</v>
      </c>
      <c r="G543" s="176">
        <v>1520689655.1724141</v>
      </c>
      <c r="H543" s="176">
        <v>149468000</v>
      </c>
      <c r="I543" s="174">
        <v>10</v>
      </c>
      <c r="J543" s="176">
        <v>0</v>
      </c>
    </row>
    <row r="544" spans="1:11">
      <c r="A544" s="65">
        <v>3066</v>
      </c>
      <c r="B544" s="174">
        <v>-0.37</v>
      </c>
      <c r="C544" s="183">
        <v>1</v>
      </c>
      <c r="D544" s="176">
        <v>83783783.783783779</v>
      </c>
      <c r="E544" s="26">
        <f>VLOOKUP(3066,季財報!$A:$H,8,0)</f>
        <v>1</v>
      </c>
      <c r="F544" s="183">
        <v>3.996666666666665E-2</v>
      </c>
      <c r="G544" s="176">
        <v>653513513.51351345</v>
      </c>
      <c r="H544" s="176">
        <v>526089000</v>
      </c>
      <c r="I544" s="174">
        <v>1.2422109443716052</v>
      </c>
      <c r="J544" s="176">
        <v>0</v>
      </c>
    </row>
    <row r="545" spans="1:10">
      <c r="A545" s="65">
        <v>3067</v>
      </c>
      <c r="B545" s="174">
        <v>-0.39</v>
      </c>
      <c r="C545" s="183">
        <v>1</v>
      </c>
      <c r="D545" s="176">
        <v>28205128.205128204</v>
      </c>
      <c r="E545" s="26">
        <f>VLOOKUP(3067,季財報!$A:$H,8,0)</f>
        <v>0</v>
      </c>
      <c r="F545" s="183">
        <v>3.8949999999999999E-2</v>
      </c>
      <c r="G545" s="176">
        <v>355384615.38461536</v>
      </c>
      <c r="H545" s="176">
        <v>338740000</v>
      </c>
      <c r="I545" s="174">
        <v>1.0491368465035584</v>
      </c>
      <c r="J545" s="176">
        <v>0</v>
      </c>
    </row>
    <row r="546" spans="1:10">
      <c r="A546" s="65">
        <v>3068</v>
      </c>
      <c r="B546" s="174">
        <v>0.71</v>
      </c>
      <c r="C546" s="183">
        <v>0.7142857142857143</v>
      </c>
      <c r="D546" s="176">
        <v>84507042.253521129</v>
      </c>
      <c r="E546" s="26">
        <f>VLOOKUP(3068,季財報!$A:$H,8,0)</f>
        <v>5</v>
      </c>
      <c r="F546" s="183">
        <v>1.3808333333333334E-2</v>
      </c>
      <c r="G546" s="176">
        <v>2725352112.6760564</v>
      </c>
      <c r="H546" s="176">
        <v>2681196000</v>
      </c>
      <c r="I546" s="174">
        <v>1.0164688119317111</v>
      </c>
      <c r="J546" s="176">
        <v>15.897887323943662</v>
      </c>
    </row>
    <row r="547" spans="1:10">
      <c r="A547" s="65">
        <v>3071</v>
      </c>
      <c r="B547" s="174">
        <v>0.02</v>
      </c>
      <c r="C547" s="183">
        <v>0.5</v>
      </c>
      <c r="D547" s="176">
        <v>100000000</v>
      </c>
      <c r="E547" s="26">
        <f>VLOOKUP(3071,季財報!$A:$H,8,0)</f>
        <v>0</v>
      </c>
      <c r="F547" s="183">
        <v>3.0833333333333338E-3</v>
      </c>
      <c r="G547" s="176">
        <v>647000000</v>
      </c>
      <c r="H547" s="176">
        <v>2419855000</v>
      </c>
      <c r="I547" s="174">
        <v>0.26737139208754246</v>
      </c>
      <c r="J547" s="176">
        <v>50</v>
      </c>
    </row>
    <row r="548" spans="1:10">
      <c r="A548" s="65">
        <v>3073</v>
      </c>
      <c r="B548" s="174">
        <v>-0.1</v>
      </c>
      <c r="C548" s="183">
        <v>1</v>
      </c>
      <c r="D548" s="176">
        <v>50000000</v>
      </c>
      <c r="E548" s="26">
        <f>VLOOKUP(3073,季財報!$A:$H,8,0)</f>
        <v>1</v>
      </c>
      <c r="F548" s="183">
        <v>9.6641666666666667E-2</v>
      </c>
      <c r="G548" s="176">
        <v>296500000</v>
      </c>
      <c r="H548" s="176">
        <v>49087000</v>
      </c>
      <c r="I548" s="174">
        <v>6.040295801332328</v>
      </c>
      <c r="J548" s="176">
        <v>0</v>
      </c>
    </row>
    <row r="549" spans="1:10">
      <c r="A549" s="65">
        <v>3078</v>
      </c>
      <c r="B549" s="174">
        <v>0.83</v>
      </c>
      <c r="C549" s="183">
        <v>0.61851851851851847</v>
      </c>
      <c r="D549" s="176">
        <v>227710843.373494</v>
      </c>
      <c r="E549" s="26">
        <f>VLOOKUP(3078,季財報!$A:$H,8,0)</f>
        <v>4</v>
      </c>
      <c r="F549" s="183">
        <v>4.4458333333333322E-2</v>
      </c>
      <c r="G549" s="176">
        <v>4565602409.6385546</v>
      </c>
      <c r="H549" s="176">
        <v>5290245000</v>
      </c>
      <c r="I549" s="174">
        <v>0.86302286749263113</v>
      </c>
      <c r="J549" s="176">
        <v>9.7639059230935743</v>
      </c>
    </row>
    <row r="550" spans="1:10">
      <c r="A550" s="65">
        <v>3081</v>
      </c>
      <c r="B550" s="174">
        <v>4.0599999999999996</v>
      </c>
      <c r="C550" s="183">
        <v>0.96370967741935487</v>
      </c>
      <c r="D550" s="176">
        <v>68719211.822660103</v>
      </c>
      <c r="E550" s="26">
        <f>VLOOKUP(3081,季財報!$A:$H,8,0)</f>
        <v>1</v>
      </c>
      <c r="F550" s="183">
        <v>5.595E-2</v>
      </c>
      <c r="G550" s="176">
        <v>28793349753.694584</v>
      </c>
      <c r="H550" s="176">
        <v>1862037000</v>
      </c>
      <c r="I550" s="174">
        <v>10</v>
      </c>
      <c r="J550" s="176">
        <v>26.772059278191151</v>
      </c>
    </row>
    <row r="551" spans="1:10">
      <c r="A551" s="65">
        <v>3083</v>
      </c>
      <c r="B551" s="174">
        <v>-0.79</v>
      </c>
      <c r="C551" s="183">
        <v>1</v>
      </c>
      <c r="D551" s="176">
        <v>86075949.367088601</v>
      </c>
      <c r="E551" s="26">
        <f>VLOOKUP(3083,季財報!$A:$H,8,0)</f>
        <v>2</v>
      </c>
      <c r="F551" s="183">
        <v>7.1158333333333323E-2</v>
      </c>
      <c r="G551" s="176">
        <v>3107341772.1518984</v>
      </c>
      <c r="H551" s="176">
        <v>322889000</v>
      </c>
      <c r="I551" s="174">
        <v>9.6235603323491929</v>
      </c>
      <c r="J551" s="176">
        <v>0</v>
      </c>
    </row>
    <row r="552" spans="1:10">
      <c r="A552" s="65">
        <v>3085</v>
      </c>
      <c r="B552" s="174">
        <v>0.01</v>
      </c>
      <c r="C552" s="183">
        <v>1</v>
      </c>
      <c r="D552" s="176">
        <v>100000000</v>
      </c>
      <c r="E552" s="26">
        <f>VLOOKUP(3085,季財報!$A:$H,8,0)</f>
        <v>3</v>
      </c>
      <c r="F552" s="183">
        <v>1.7624999999999998E-2</v>
      </c>
      <c r="G552" s="176">
        <v>693000000</v>
      </c>
      <c r="H552" s="176">
        <v>342111000</v>
      </c>
      <c r="I552" s="174">
        <v>2.0256583389601621</v>
      </c>
      <c r="J552" s="176">
        <v>50</v>
      </c>
    </row>
    <row r="553" spans="1:10">
      <c r="A553" s="65">
        <v>3086</v>
      </c>
      <c r="B553" s="174">
        <v>-0.51</v>
      </c>
      <c r="C553" s="183">
        <v>0.91803278688524592</v>
      </c>
      <c r="D553" s="176">
        <v>58823529.411764704</v>
      </c>
      <c r="E553" s="26">
        <f>VLOOKUP(3086,季財報!$A:$H,8,0)</f>
        <v>3</v>
      </c>
      <c r="F553" s="183">
        <v>5.150833333333333E-2</v>
      </c>
      <c r="G553" s="176">
        <v>741176470.58823526</v>
      </c>
      <c r="H553" s="176">
        <v>416140000</v>
      </c>
      <c r="I553" s="174">
        <v>1.7810748079690375</v>
      </c>
      <c r="J553" s="176">
        <v>0</v>
      </c>
    </row>
    <row r="554" spans="1:10">
      <c r="A554" s="65">
        <v>3088</v>
      </c>
      <c r="B554" s="174">
        <v>1.9</v>
      </c>
      <c r="C554" s="183">
        <v>0.77973568281938321</v>
      </c>
      <c r="D554" s="176">
        <v>78947368.421052635</v>
      </c>
      <c r="E554" s="26">
        <f>VLOOKUP(3088,季財報!$A:$H,8,0)</f>
        <v>4</v>
      </c>
      <c r="F554" s="183">
        <v>4.4266666666666656E-2</v>
      </c>
      <c r="G554" s="176">
        <v>5423684210.5263166</v>
      </c>
      <c r="H554" s="176">
        <v>4616719000</v>
      </c>
      <c r="I554" s="174">
        <v>1.1747919270214013</v>
      </c>
      <c r="J554" s="176">
        <v>11.592997323818022</v>
      </c>
    </row>
    <row r="555" spans="1:10">
      <c r="A555" s="65">
        <v>3089</v>
      </c>
      <c r="B555" s="174">
        <v>-0.98</v>
      </c>
      <c r="C555" s="183">
        <v>0.77333333333333332</v>
      </c>
      <c r="D555" s="176">
        <v>70408163.26530613</v>
      </c>
      <c r="E555" s="26">
        <f>VLOOKUP(3089,季財報!$A:$H,8,0)</f>
        <v>1</v>
      </c>
      <c r="F555" s="183">
        <v>7.2466666666666693E-2</v>
      </c>
      <c r="G555" s="176">
        <v>1450408163.2653065</v>
      </c>
      <c r="H555" s="176">
        <v>348641000</v>
      </c>
      <c r="I555" s="174">
        <v>4.1601766954124919</v>
      </c>
      <c r="J555" s="176">
        <v>0</v>
      </c>
    </row>
    <row r="556" spans="1:10">
      <c r="A556" s="65">
        <v>3090</v>
      </c>
      <c r="B556" s="174">
        <v>0.76</v>
      </c>
      <c r="C556" s="183">
        <v>0.73142857142857143</v>
      </c>
      <c r="D556" s="176">
        <v>168421052.63157895</v>
      </c>
      <c r="E556" s="26">
        <f>VLOOKUP(3090,季財報!$A:$H,8,0)</f>
        <v>2</v>
      </c>
      <c r="F556" s="183">
        <v>1.4591666666666669E-2</v>
      </c>
      <c r="G556" s="176">
        <v>4033684210.5263157</v>
      </c>
      <c r="H556" s="176">
        <v>8355732000</v>
      </c>
      <c r="I556" s="174">
        <v>0.48274456511126923</v>
      </c>
      <c r="J556" s="176">
        <v>10.77109888980263</v>
      </c>
    </row>
    <row r="557" spans="1:10">
      <c r="A557" s="65">
        <v>3092</v>
      </c>
      <c r="B557" s="174">
        <v>0.69</v>
      </c>
      <c r="C557" s="183">
        <v>1</v>
      </c>
      <c r="D557" s="176">
        <v>63768115.942028992</v>
      </c>
      <c r="E557" s="26">
        <f>VLOOKUP(3092,季財報!$A:$H,8,0)</f>
        <v>2</v>
      </c>
      <c r="F557" s="183">
        <v>2.3441666666666666E-2</v>
      </c>
      <c r="G557" s="176">
        <v>1090434782.6086957</v>
      </c>
      <c r="H557" s="176">
        <v>2274665000</v>
      </c>
      <c r="I557" s="174">
        <v>0.47938258275776685</v>
      </c>
      <c r="J557" s="176">
        <v>6.1956521739130448</v>
      </c>
    </row>
    <row r="558" spans="1:10">
      <c r="A558" s="65">
        <v>3093</v>
      </c>
      <c r="B558" s="174">
        <v>0.67</v>
      </c>
      <c r="C558" s="183">
        <v>0.61764705882352944</v>
      </c>
      <c r="D558" s="176">
        <v>35820895.522388056</v>
      </c>
      <c r="E558" s="26">
        <f>VLOOKUP(3093,季財報!$A:$H,8,0)</f>
        <v>4</v>
      </c>
      <c r="F558" s="183">
        <v>9.7808333333333317E-2</v>
      </c>
      <c r="G558" s="176">
        <v>1072835820.8955222</v>
      </c>
      <c r="H558" s="176">
        <v>920205000</v>
      </c>
      <c r="I558" s="174">
        <v>1.165866106895227</v>
      </c>
      <c r="J558" s="176">
        <v>18.093461265103052</v>
      </c>
    </row>
    <row r="559" spans="1:10">
      <c r="A559" s="65">
        <v>3094</v>
      </c>
      <c r="B559" s="174">
        <v>0.34</v>
      </c>
      <c r="C559" s="183">
        <v>0.36363636363636365</v>
      </c>
      <c r="D559" s="176">
        <v>82352941.176470578</v>
      </c>
      <c r="E559" s="26">
        <f>VLOOKUP(3094,季財報!$A:$H,8,0)</f>
        <v>4</v>
      </c>
      <c r="F559" s="183">
        <v>3.6583333333333336E-2</v>
      </c>
      <c r="G559" s="176">
        <v>2198823529.4117641</v>
      </c>
      <c r="H559" s="176">
        <v>321929000</v>
      </c>
      <c r="I559" s="174">
        <v>6.8301505282586037</v>
      </c>
      <c r="J559" s="176">
        <v>50</v>
      </c>
    </row>
    <row r="560" spans="1:10">
      <c r="A560" s="65">
        <v>3095</v>
      </c>
      <c r="B560" s="174">
        <v>-2.41</v>
      </c>
      <c r="C560" s="183">
        <v>1</v>
      </c>
      <c r="D560" s="176">
        <v>109543568.46473028</v>
      </c>
      <c r="E560" s="26">
        <f>VLOOKUP(3095,季財報!$A:$H,8,0)</f>
        <v>2</v>
      </c>
      <c r="F560" s="183">
        <v>8.4083333333333475E-3</v>
      </c>
      <c r="G560" s="176">
        <v>660547717.84232366</v>
      </c>
      <c r="H560" s="176">
        <v>4941229000</v>
      </c>
      <c r="I560" s="174">
        <v>0.13368085507518954</v>
      </c>
      <c r="J560" s="176">
        <v>0</v>
      </c>
    </row>
    <row r="561" spans="1:10">
      <c r="A561" s="65">
        <v>3105</v>
      </c>
      <c r="B561" s="174">
        <v>1.32</v>
      </c>
      <c r="C561" s="183">
        <v>0.94187779433681074</v>
      </c>
      <c r="D561" s="176">
        <v>609848484.84848487</v>
      </c>
      <c r="E561" s="26">
        <f>VLOOKUP(3105,季財報!$A:$H,8,0)</f>
        <v>4</v>
      </c>
      <c r="F561" s="183">
        <v>5.6999999999999993E-3</v>
      </c>
      <c r="G561" s="176">
        <v>30187500000</v>
      </c>
      <c r="H561" s="176">
        <v>11561294000</v>
      </c>
      <c r="I561" s="174">
        <v>2.6110831538407377</v>
      </c>
      <c r="J561" s="176">
        <v>9.9535205696202524</v>
      </c>
    </row>
    <row r="562" spans="1:10">
      <c r="A562" s="65">
        <v>3114</v>
      </c>
      <c r="B562" s="174">
        <v>0.91</v>
      </c>
      <c r="C562" s="183">
        <v>0.27083333333333331</v>
      </c>
      <c r="D562" s="176">
        <v>50549450.549450547</v>
      </c>
      <c r="E562" s="26">
        <f>VLOOKUP(3114,季財報!$A:$H,8,0)</f>
        <v>4</v>
      </c>
      <c r="F562" s="183">
        <v>1.6583333333333328E-2</v>
      </c>
      <c r="G562" s="176">
        <v>712747252.7472527</v>
      </c>
      <c r="H562" s="176">
        <v>1950537000</v>
      </c>
      <c r="I562" s="174">
        <v>0.36541078315728065</v>
      </c>
      <c r="J562" s="176">
        <v>14.30262045646661</v>
      </c>
    </row>
    <row r="563" spans="1:10">
      <c r="A563" s="65">
        <v>3115</v>
      </c>
      <c r="B563" s="174">
        <v>-0.09</v>
      </c>
      <c r="C563" s="183">
        <v>0</v>
      </c>
      <c r="D563" s="176">
        <v>44444444.444444448</v>
      </c>
      <c r="E563" s="26">
        <f>VLOOKUP(3115,季財報!$A:$H,8,0)</f>
        <v>1</v>
      </c>
      <c r="F563" s="183">
        <v>5.5966666666666665E-2</v>
      </c>
      <c r="G563" s="176">
        <v>566666666.66666675</v>
      </c>
      <c r="H563" s="176">
        <v>891961000</v>
      </c>
      <c r="I563" s="174">
        <v>0.63530430889541889</v>
      </c>
      <c r="J563" s="176">
        <v>0</v>
      </c>
    </row>
    <row r="564" spans="1:10">
      <c r="A564" s="65">
        <v>3118</v>
      </c>
      <c r="B564" s="174">
        <v>0.62</v>
      </c>
      <c r="C564" s="183">
        <v>0.85365853658536583</v>
      </c>
      <c r="D564" s="176">
        <v>32258064.516129032</v>
      </c>
      <c r="E564" s="26">
        <f>VLOOKUP(3118,季財報!$A:$H,8,0)</f>
        <v>3</v>
      </c>
      <c r="F564" s="183">
        <v>6.5350000000000005E-2</v>
      </c>
      <c r="G564" s="176">
        <v>1329032258.0645163</v>
      </c>
      <c r="H564" s="176">
        <v>541704000</v>
      </c>
      <c r="I564" s="174">
        <v>2.453428917018365</v>
      </c>
      <c r="J564" s="176">
        <v>19.460829493087559</v>
      </c>
    </row>
    <row r="565" spans="1:10">
      <c r="A565" s="65">
        <v>3122</v>
      </c>
      <c r="B565" s="174">
        <v>0.19</v>
      </c>
      <c r="C565" s="183">
        <v>0.3888888888888889</v>
      </c>
      <c r="D565" s="176">
        <v>36842105.263157897</v>
      </c>
      <c r="E565" s="26">
        <f>VLOOKUP(3122,季財報!$A:$H,8,0)</f>
        <v>1</v>
      </c>
      <c r="F565" s="183">
        <v>4.2208333333333327E-2</v>
      </c>
      <c r="G565" s="176">
        <v>569210526.31578946</v>
      </c>
      <c r="H565" s="176">
        <v>553976000</v>
      </c>
      <c r="I565" s="174">
        <v>1.0275003363246593</v>
      </c>
      <c r="J565" s="176">
        <v>50</v>
      </c>
    </row>
    <row r="566" spans="1:10">
      <c r="A566" s="65">
        <v>3128</v>
      </c>
      <c r="B566" s="174">
        <v>-0.01</v>
      </c>
      <c r="C566" s="183">
        <v>1</v>
      </c>
      <c r="D566" s="176">
        <v>100000000</v>
      </c>
      <c r="E566" s="26">
        <f>VLOOKUP(3128,季財報!$A:$H,8,0)</f>
        <v>2</v>
      </c>
      <c r="F566" s="183">
        <v>3.3950000000000001E-2</v>
      </c>
      <c r="G566" s="176">
        <v>1270000000</v>
      </c>
      <c r="H566" s="176">
        <v>727183000</v>
      </c>
      <c r="I566" s="174">
        <v>1.7464654701773832</v>
      </c>
      <c r="J566" s="176">
        <v>0</v>
      </c>
    </row>
    <row r="567" spans="1:10">
      <c r="A567" s="65">
        <v>3130</v>
      </c>
      <c r="B567" s="174">
        <v>2.4900000000000002</v>
      </c>
      <c r="C567" s="183">
        <v>0.93617021276595747</v>
      </c>
      <c r="D567" s="176">
        <v>32931726.907630518</v>
      </c>
      <c r="E567" s="26">
        <f>VLOOKUP(3130,季財報!$A:$H,8,0)</f>
        <v>2</v>
      </c>
      <c r="F567" s="183">
        <v>2.6500000000000009E-3</v>
      </c>
      <c r="G567" s="176">
        <v>4692771084.3373489</v>
      </c>
      <c r="H567" s="176">
        <v>2567959000</v>
      </c>
      <c r="I567" s="174">
        <v>1.8274322465184798</v>
      </c>
      <c r="J567" s="176">
        <v>15.282721796276011</v>
      </c>
    </row>
    <row r="568" spans="1:10">
      <c r="A568" s="65">
        <v>3131</v>
      </c>
      <c r="B568" s="174">
        <v>4.92</v>
      </c>
      <c r="C568" s="183">
        <v>1</v>
      </c>
      <c r="D568" s="176">
        <v>24593495.934959348</v>
      </c>
      <c r="E568" s="26">
        <f>VLOOKUP(3131,季財報!$A:$H,8,0)</f>
        <v>1</v>
      </c>
      <c r="F568" s="183">
        <v>5.4316666666666652E-2</v>
      </c>
      <c r="G568" s="176">
        <v>4598983739.8373985</v>
      </c>
      <c r="H568" s="176">
        <v>1913087000</v>
      </c>
      <c r="I568" s="174">
        <v>2.4039595375627969</v>
      </c>
      <c r="J568" s="176">
        <v>9.5020325203252032</v>
      </c>
    </row>
    <row r="569" spans="1:10">
      <c r="A569" s="65">
        <v>3141</v>
      </c>
      <c r="B569" s="174">
        <v>0.28999999999999998</v>
      </c>
      <c r="C569" s="183">
        <v>0.625</v>
      </c>
      <c r="D569" s="176">
        <v>103448275.86206897</v>
      </c>
      <c r="E569" s="26">
        <f>VLOOKUP(3141,季財報!$A:$H,8,0)</f>
        <v>2</v>
      </c>
      <c r="F569" s="183">
        <v>4.1600000000000005E-2</v>
      </c>
      <c r="G569" s="176">
        <v>1965517241.3793104</v>
      </c>
      <c r="H569" s="176">
        <v>1058698000</v>
      </c>
      <c r="I569" s="174">
        <v>1.8565419424418581</v>
      </c>
      <c r="J569" s="176">
        <v>26.206896551724139</v>
      </c>
    </row>
    <row r="570" spans="1:10">
      <c r="A570" s="65">
        <v>3144</v>
      </c>
      <c r="B570" s="174">
        <v>0.5</v>
      </c>
      <c r="C570" s="183">
        <v>1</v>
      </c>
      <c r="D570" s="176">
        <v>100000000</v>
      </c>
      <c r="E570" s="26">
        <f>VLOOKUP(3144,季財報!$A:$H,8,0)</f>
        <v>2</v>
      </c>
      <c r="F570" s="183">
        <v>2.1441666666666668E-2</v>
      </c>
      <c r="G570" s="176">
        <v>1605000000</v>
      </c>
      <c r="H570" s="176">
        <v>2038708000</v>
      </c>
      <c r="I570" s="174">
        <v>0.78726330597613781</v>
      </c>
      <c r="J570" s="176">
        <v>8.0250000000000004</v>
      </c>
    </row>
    <row r="571" spans="1:10">
      <c r="A571" s="65">
        <v>3149</v>
      </c>
      <c r="B571" s="174">
        <v>-2.1</v>
      </c>
      <c r="C571" s="183">
        <v>0.28907563025210087</v>
      </c>
      <c r="D571" s="176">
        <v>268571428.57142854</v>
      </c>
      <c r="E571" s="26">
        <f>VLOOKUP(3149,季財報!$A:$H,8,0)</f>
        <v>3</v>
      </c>
      <c r="F571" s="183">
        <v>2.8516666666666666E-2</v>
      </c>
      <c r="G571" s="176">
        <v>3639142857.1428571</v>
      </c>
      <c r="H571" s="176">
        <v>5908204000</v>
      </c>
      <c r="I571" s="174">
        <v>0.61594739402073073</v>
      </c>
      <c r="J571" s="176">
        <v>0</v>
      </c>
    </row>
    <row r="572" spans="1:10">
      <c r="A572" s="65">
        <v>3152</v>
      </c>
      <c r="B572" s="174">
        <v>3.52</v>
      </c>
      <c r="C572" s="183">
        <v>0.87710843373493974</v>
      </c>
      <c r="D572" s="176">
        <v>69034090.909090906</v>
      </c>
      <c r="E572" s="26">
        <f>VLOOKUP(3152,季財報!$A:$H,8,0)</f>
        <v>5</v>
      </c>
      <c r="F572" s="183">
        <v>3.6833333333333329E-2</v>
      </c>
      <c r="G572" s="176">
        <v>15705255681.818182</v>
      </c>
      <c r="H572" s="176">
        <v>1653745000</v>
      </c>
      <c r="I572" s="174">
        <v>9.4967819596238723</v>
      </c>
      <c r="J572" s="176">
        <v>18.421519886363637</v>
      </c>
    </row>
    <row r="573" spans="1:10">
      <c r="A573" s="65">
        <v>3162</v>
      </c>
      <c r="B573" s="174">
        <v>0.11</v>
      </c>
      <c r="C573" s="183">
        <v>0.75</v>
      </c>
      <c r="D573" s="176">
        <v>54545454.545454547</v>
      </c>
      <c r="E573" s="26">
        <f>VLOOKUP(3162,季財報!$A:$H,8,0)</f>
        <v>2</v>
      </c>
      <c r="F573" s="183">
        <v>-1.6741666666666665E-2</v>
      </c>
      <c r="G573" s="176">
        <v>0</v>
      </c>
      <c r="H573" s="176">
        <v>805175000</v>
      </c>
      <c r="I573" s="174">
        <v>0</v>
      </c>
      <c r="J573" s="176">
        <v>0</v>
      </c>
    </row>
    <row r="574" spans="1:10">
      <c r="A574" s="65">
        <v>3163</v>
      </c>
      <c r="B574" s="174">
        <v>-0.25</v>
      </c>
      <c r="C574" s="183">
        <v>1</v>
      </c>
      <c r="D574" s="176">
        <v>72000000</v>
      </c>
      <c r="E574" s="26">
        <f>VLOOKUP(3163,季財報!$A:$H,8,0)</f>
        <v>1</v>
      </c>
      <c r="F574" s="183">
        <v>3.1675000000000002E-2</v>
      </c>
      <c r="G574" s="176">
        <v>2433600000</v>
      </c>
      <c r="H574" s="176">
        <v>2308571000</v>
      </c>
      <c r="I574" s="174">
        <v>1.0541586115393462</v>
      </c>
      <c r="J574" s="176">
        <v>0</v>
      </c>
    </row>
    <row r="575" spans="1:10">
      <c r="A575" s="65">
        <v>3164</v>
      </c>
      <c r="B575" s="174">
        <v>0.12</v>
      </c>
      <c r="C575" s="183">
        <v>1</v>
      </c>
      <c r="D575" s="176">
        <v>91666666.666666672</v>
      </c>
      <c r="E575" s="26">
        <f>VLOOKUP(3164,季財報!$A:$H,8,0)</f>
        <v>3</v>
      </c>
      <c r="F575" s="183">
        <v>6.4441666666666661E-2</v>
      </c>
      <c r="G575" s="176">
        <v>2814166666.666667</v>
      </c>
      <c r="H575" s="176">
        <v>528150000</v>
      </c>
      <c r="I575" s="174">
        <v>5.3283473760610942</v>
      </c>
      <c r="J575" s="176">
        <v>50</v>
      </c>
    </row>
    <row r="576" spans="1:10">
      <c r="A576" s="65">
        <v>3167</v>
      </c>
      <c r="B576" s="174">
        <v>1.1499999999999999</v>
      </c>
      <c r="C576" s="183">
        <v>0.65536723163841804</v>
      </c>
      <c r="D576" s="176">
        <v>80000000</v>
      </c>
      <c r="E576" s="26">
        <f>VLOOKUP(3167,季財報!$A:$H,8,0)</f>
        <v>3</v>
      </c>
      <c r="F576" s="183">
        <v>-3.1849999999999996E-2</v>
      </c>
      <c r="G576" s="176">
        <v>2308000000</v>
      </c>
      <c r="H576" s="176">
        <v>2036357000</v>
      </c>
      <c r="I576" s="174">
        <v>1.1333965508012593</v>
      </c>
      <c r="J576" s="176">
        <v>9.5698088455772137</v>
      </c>
    </row>
    <row r="577" spans="1:10">
      <c r="A577" s="65">
        <v>3169</v>
      </c>
      <c r="B577" s="174">
        <v>0.42</v>
      </c>
      <c r="C577" s="183">
        <v>0.84615384615384615</v>
      </c>
      <c r="D577" s="176">
        <v>52380952.380952381</v>
      </c>
      <c r="E577" s="26">
        <f>VLOOKUP(3169,季財報!$A:$H,8,0)</f>
        <v>1</v>
      </c>
      <c r="F577" s="183">
        <v>4.1591666666666659E-2</v>
      </c>
      <c r="G577" s="176">
        <v>1550476190.4761906</v>
      </c>
      <c r="H577" s="176">
        <v>584770000</v>
      </c>
      <c r="I577" s="174">
        <v>2.6514290925939954</v>
      </c>
      <c r="J577" s="176">
        <v>20.822510822510825</v>
      </c>
    </row>
    <row r="578" spans="1:10">
      <c r="A578" s="65">
        <v>3171</v>
      </c>
      <c r="B578" s="174">
        <v>0.4</v>
      </c>
      <c r="C578" s="183">
        <v>0.92307692307692313</v>
      </c>
      <c r="D578" s="176">
        <v>57500000</v>
      </c>
      <c r="E578" s="26">
        <f>VLOOKUP(3171,季財報!$A:$H,8,0)</f>
        <v>3</v>
      </c>
      <c r="F578" s="183">
        <v>2.2000000000000006E-3</v>
      </c>
      <c r="G578" s="176">
        <v>1259250000</v>
      </c>
      <c r="H578" s="176">
        <v>1753093000</v>
      </c>
      <c r="I578" s="174">
        <v>0.71830188130350192</v>
      </c>
      <c r="J578" s="176">
        <v>14.828124999999998</v>
      </c>
    </row>
    <row r="579" spans="1:10">
      <c r="A579" s="65">
        <v>3176</v>
      </c>
      <c r="B579" s="174">
        <v>-0.91</v>
      </c>
      <c r="C579" s="183">
        <v>1</v>
      </c>
      <c r="D579" s="176">
        <v>139560439.56043956</v>
      </c>
      <c r="E579" s="26">
        <f>VLOOKUP(3176,季財報!$A:$H,8,0)</f>
        <v>2</v>
      </c>
      <c r="F579" s="183">
        <v>-1.4391666666666669E-2</v>
      </c>
      <c r="G579" s="176">
        <v>12281318681.318682</v>
      </c>
      <c r="H579" s="176">
        <v>360110000</v>
      </c>
      <c r="I579" s="174">
        <v>10</v>
      </c>
      <c r="J579" s="176">
        <v>0</v>
      </c>
    </row>
    <row r="580" spans="1:10">
      <c r="A580" s="65">
        <v>3188</v>
      </c>
      <c r="B580" s="174">
        <v>0.17</v>
      </c>
      <c r="C580" s="183">
        <v>0</v>
      </c>
      <c r="D580" s="176">
        <v>47058823.529411763</v>
      </c>
      <c r="E580" s="26">
        <f>VLOOKUP(3188,季財報!$A:$H,8,0)</f>
        <v>5</v>
      </c>
      <c r="F580" s="183">
        <v>1.6683333333333331E-2</v>
      </c>
      <c r="G580" s="176">
        <v>477647058.82352942</v>
      </c>
      <c r="H580" s="176">
        <v>192976000</v>
      </c>
      <c r="I580" s="174">
        <v>2.4751630193574821</v>
      </c>
      <c r="J580" s="176">
        <v>0</v>
      </c>
    </row>
    <row r="581" spans="1:10">
      <c r="A581" s="65">
        <v>3189</v>
      </c>
      <c r="B581" s="174">
        <v>1.73</v>
      </c>
      <c r="C581" s="183">
        <v>0.95116618075801751</v>
      </c>
      <c r="D581" s="176">
        <v>445664739.8843931</v>
      </c>
      <c r="E581" s="26">
        <f>VLOOKUP(3189,季財報!$A:$H,8,0)</f>
        <v>2</v>
      </c>
      <c r="F581" s="183">
        <v>1.4825000000000003E-2</v>
      </c>
      <c r="G581" s="176">
        <v>27408381502.890175</v>
      </c>
      <c r="H581" s="176">
        <v>22494766000</v>
      </c>
      <c r="I581" s="174">
        <v>1.2184337237777967</v>
      </c>
      <c r="J581" s="176">
        <v>9.3435652116138463</v>
      </c>
    </row>
    <row r="582" spans="1:10">
      <c r="A582" s="65">
        <v>3202</v>
      </c>
      <c r="B582" s="174">
        <v>0.05</v>
      </c>
      <c r="C582" s="183">
        <v>1</v>
      </c>
      <c r="D582" s="176">
        <v>100000000</v>
      </c>
      <c r="E582" s="26">
        <f>VLOOKUP(3202,季財報!$A:$H,8,0)</f>
        <v>2</v>
      </c>
      <c r="F582" s="183">
        <v>2.5133333333333341E-2</v>
      </c>
      <c r="G582" s="176">
        <v>620000000</v>
      </c>
      <c r="H582" s="176">
        <v>2305955000</v>
      </c>
      <c r="I582" s="174">
        <v>0.26886908027259854</v>
      </c>
      <c r="J582" s="176">
        <v>31</v>
      </c>
    </row>
    <row r="583" spans="1:10">
      <c r="A583" s="65">
        <v>3205</v>
      </c>
      <c r="B583" s="174">
        <v>4.1100000000000003</v>
      </c>
      <c r="C583" s="183">
        <v>1</v>
      </c>
      <c r="D583" s="176">
        <v>25304136.253041361</v>
      </c>
      <c r="E583" s="26">
        <f>VLOOKUP(3205,季財報!$A:$H,8,0)</f>
        <v>5</v>
      </c>
      <c r="F583" s="183">
        <v>0.12420000000000002</v>
      </c>
      <c r="G583" s="176">
        <v>8464233576.6423349</v>
      </c>
      <c r="H583" s="176">
        <v>1001686000</v>
      </c>
      <c r="I583" s="174">
        <v>8.4499868987310744</v>
      </c>
      <c r="J583" s="176">
        <v>20.346715328467152</v>
      </c>
    </row>
    <row r="584" spans="1:10">
      <c r="A584" s="65">
        <v>3206</v>
      </c>
      <c r="B584" s="174">
        <v>0.67</v>
      </c>
      <c r="C584" s="183">
        <v>0.7846153846153846</v>
      </c>
      <c r="D584" s="176">
        <v>43283582.089552239</v>
      </c>
      <c r="E584" s="26">
        <f>VLOOKUP(3206,季財報!$A:$H,8,0)</f>
        <v>0</v>
      </c>
      <c r="F584" s="183">
        <v>3.5150000000000001E-2</v>
      </c>
      <c r="G584" s="176">
        <v>982537313.43283582</v>
      </c>
      <c r="H584" s="176">
        <v>1561380000</v>
      </c>
      <c r="I584" s="174">
        <v>0.62927494487750313</v>
      </c>
      <c r="J584" s="176">
        <v>10.795288264559556</v>
      </c>
    </row>
    <row r="585" spans="1:10">
      <c r="A585" s="65">
        <v>3207</v>
      </c>
      <c r="B585" s="174">
        <v>-0.16</v>
      </c>
      <c r="C585" s="183">
        <v>1</v>
      </c>
      <c r="D585" s="176">
        <v>37500000</v>
      </c>
      <c r="E585" s="26">
        <f>VLOOKUP(3207,季財報!$A:$H,8,0)</f>
        <v>3</v>
      </c>
      <c r="F585" s="183">
        <v>1.9016666666666668E-2</v>
      </c>
      <c r="G585" s="176">
        <v>285000000</v>
      </c>
      <c r="H585" s="176">
        <v>1000886000</v>
      </c>
      <c r="I585" s="174">
        <v>0.28474771352581613</v>
      </c>
      <c r="J585" s="176">
        <v>0</v>
      </c>
    </row>
    <row r="586" spans="1:10">
      <c r="A586" s="65">
        <v>3209</v>
      </c>
      <c r="B586" s="174">
        <v>1.04</v>
      </c>
      <c r="C586" s="183">
        <v>0.96491228070175439</v>
      </c>
      <c r="D586" s="176">
        <v>120192307.69230768</v>
      </c>
      <c r="E586" s="26">
        <f>VLOOKUP(3209,季財報!$A:$H,8,0)</f>
        <v>2</v>
      </c>
      <c r="F586" s="183">
        <v>2.3900000000000005E-2</v>
      </c>
      <c r="G586" s="176">
        <v>3004807692.3076921</v>
      </c>
      <c r="H586" s="176">
        <v>23644239000</v>
      </c>
      <c r="I586" s="174">
        <v>0.12708413632207372</v>
      </c>
      <c r="J586" s="176">
        <v>6.2281468531468533</v>
      </c>
    </row>
    <row r="587" spans="1:10">
      <c r="A587" s="65">
        <v>3211</v>
      </c>
      <c r="B587" s="174">
        <v>1.51</v>
      </c>
      <c r="C587" s="183">
        <v>0.20359281437125748</v>
      </c>
      <c r="D587" s="176">
        <v>150331125.82781458</v>
      </c>
      <c r="E587" s="26">
        <f>VLOOKUP(3211,季財報!$A:$H,8,0)</f>
        <v>2</v>
      </c>
      <c r="F587" s="183">
        <v>7.6666666666666619E-3</v>
      </c>
      <c r="G587" s="176">
        <v>7907417218.543047</v>
      </c>
      <c r="H587" s="176">
        <v>22199003000</v>
      </c>
      <c r="I587" s="174">
        <v>0.35620596197689808</v>
      </c>
      <c r="J587" s="176">
        <v>42.774639657187379</v>
      </c>
    </row>
    <row r="588" spans="1:10">
      <c r="A588" s="65">
        <v>3213</v>
      </c>
      <c r="B588" s="174">
        <v>0.93</v>
      </c>
      <c r="C588" s="183">
        <v>0.95238095238095233</v>
      </c>
      <c r="D588" s="176">
        <v>59139784.946236558</v>
      </c>
      <c r="E588" s="26">
        <f>VLOOKUP(3213,季財報!$A:$H,8,0)</f>
        <v>2</v>
      </c>
      <c r="F588" s="183">
        <v>2.360000000000001E-2</v>
      </c>
      <c r="G588" s="176">
        <v>2619892473.1182795</v>
      </c>
      <c r="H588" s="176">
        <v>2126712000</v>
      </c>
      <c r="I588" s="174">
        <v>1.2318981005036316</v>
      </c>
      <c r="J588" s="176">
        <v>12.504032258064516</v>
      </c>
    </row>
    <row r="589" spans="1:10">
      <c r="A589" s="65">
        <v>3217</v>
      </c>
      <c r="B589" s="174">
        <v>0.6</v>
      </c>
      <c r="C589" s="183">
        <v>0.37096774193548387</v>
      </c>
      <c r="D589" s="176">
        <v>83333333.333333343</v>
      </c>
      <c r="E589" s="26">
        <f>VLOOKUP(3217,季財報!$A:$H,8,0)</f>
        <v>5</v>
      </c>
      <c r="F589" s="183">
        <v>2.4491666666666665E-2</v>
      </c>
      <c r="G589" s="176">
        <v>1066666666.6666669</v>
      </c>
      <c r="H589" s="176">
        <v>1250063000</v>
      </c>
      <c r="I589" s="174">
        <v>0.85329032750082745</v>
      </c>
      <c r="J589" s="176">
        <v>14.3768115942029</v>
      </c>
    </row>
    <row r="590" spans="1:10">
      <c r="A590" s="65">
        <v>3218</v>
      </c>
      <c r="B590" s="174">
        <v>0.37</v>
      </c>
      <c r="C590" s="183">
        <v>0.66666666666666663</v>
      </c>
      <c r="D590" s="176">
        <v>67567567.567567572</v>
      </c>
      <c r="E590" s="26">
        <f>VLOOKUP(3218,季財報!$A:$H,8,0)</f>
        <v>4</v>
      </c>
      <c r="F590" s="183">
        <v>4.2416666666666662E-3</v>
      </c>
      <c r="G590" s="176">
        <v>1773648648.6486487</v>
      </c>
      <c r="H590" s="176">
        <v>1012832000</v>
      </c>
      <c r="I590" s="174">
        <v>1.7511775384749384</v>
      </c>
      <c r="J590" s="176">
        <v>26.604729729729733</v>
      </c>
    </row>
    <row r="591" spans="1:10">
      <c r="A591" s="65">
        <v>3219</v>
      </c>
      <c r="B591" s="174">
        <v>0.12</v>
      </c>
      <c r="C591" s="183">
        <v>0</v>
      </c>
      <c r="D591" s="176">
        <v>0</v>
      </c>
      <c r="E591" s="26">
        <f>VLOOKUP(3219,季財報!$A:$H,8,0)</f>
        <v>1</v>
      </c>
      <c r="F591" s="183">
        <v>2.287500000000001E-2</v>
      </c>
      <c r="G591" s="176">
        <v>0</v>
      </c>
      <c r="H591" s="176">
        <v>191049000</v>
      </c>
      <c r="I591" s="174">
        <v>0</v>
      </c>
      <c r="J591" s="176">
        <v>0</v>
      </c>
    </row>
    <row r="592" spans="1:10">
      <c r="A592" s="65">
        <v>3221</v>
      </c>
      <c r="B592" s="174">
        <v>0.57999999999999996</v>
      </c>
      <c r="C592" s="183">
        <v>0</v>
      </c>
      <c r="D592" s="176">
        <v>0</v>
      </c>
      <c r="E592" s="26">
        <f>VLOOKUP(3221,季財報!$A:$H,8,0)</f>
        <v>4</v>
      </c>
      <c r="F592" s="183">
        <v>1.2908333333333339E-2</v>
      </c>
      <c r="G592" s="176">
        <v>0</v>
      </c>
      <c r="H592" s="176">
        <v>1684721000</v>
      </c>
      <c r="I592" s="174">
        <v>0</v>
      </c>
      <c r="J592" s="176">
        <v>0</v>
      </c>
    </row>
    <row r="593" spans="1:11">
      <c r="A593" s="65">
        <v>3224</v>
      </c>
      <c r="B593" s="174">
        <v>0.3</v>
      </c>
      <c r="C593" s="183">
        <v>0</v>
      </c>
      <c r="D593" s="176">
        <v>40000000</v>
      </c>
      <c r="E593" s="26">
        <f>VLOOKUP(3224,季財報!$A:$H,8,0)</f>
        <v>2</v>
      </c>
      <c r="F593" s="183">
        <v>2.6266666666666664E-2</v>
      </c>
      <c r="G593" s="176">
        <v>1528000000</v>
      </c>
      <c r="H593" s="176">
        <v>2124159000</v>
      </c>
      <c r="I593" s="174">
        <v>0.71934351430377863</v>
      </c>
      <c r="J593" s="176">
        <v>0</v>
      </c>
    </row>
    <row r="594" spans="1:11">
      <c r="A594" s="65">
        <v>3226</v>
      </c>
      <c r="B594" s="174">
        <v>1.1100000000000001</v>
      </c>
      <c r="C594" s="183">
        <v>0.68181818181818177</v>
      </c>
      <c r="D594" s="176">
        <v>64864864.864864856</v>
      </c>
      <c r="E594" s="26">
        <f>VLOOKUP(3226,季財報!$A:$H,8,0)</f>
        <v>3</v>
      </c>
      <c r="F594" s="183">
        <v>5.4191666666666666E-2</v>
      </c>
      <c r="G594" s="176">
        <v>3762162162.1621618</v>
      </c>
      <c r="H594" s="176">
        <v>1027528000</v>
      </c>
      <c r="I594" s="174">
        <v>3.6613719160569462</v>
      </c>
      <c r="J594" s="176">
        <v>19.159159159159159</v>
      </c>
    </row>
    <row r="595" spans="1:11">
      <c r="A595" s="65">
        <v>3227</v>
      </c>
      <c r="B595" s="174">
        <v>0.74</v>
      </c>
      <c r="C595" s="183">
        <v>0.55625000000000002</v>
      </c>
      <c r="D595" s="176">
        <v>128378378.37837838</v>
      </c>
      <c r="E595" s="26">
        <f>VLOOKUP(3227,季財報!$A:$H,8,0)</f>
        <v>3</v>
      </c>
      <c r="F595" s="183">
        <v>-2.5666666666666663E-3</v>
      </c>
      <c r="G595" s="176">
        <v>9615540540.5405407</v>
      </c>
      <c r="H595" s="176">
        <v>4315744000</v>
      </c>
      <c r="I595" s="174">
        <v>2.2280145765227366</v>
      </c>
      <c r="J595" s="176">
        <v>45.490434254479197</v>
      </c>
    </row>
    <row r="596" spans="1:11">
      <c r="A596" s="65">
        <v>3228</v>
      </c>
      <c r="B596" s="179">
        <v>-0.33</v>
      </c>
      <c r="C596" s="183">
        <v>1</v>
      </c>
      <c r="D596" s="180">
        <v>63636363.636363633</v>
      </c>
      <c r="E596" s="26">
        <f>VLOOKUP(3228,季財報!$A:$H,8,0)</f>
        <v>0</v>
      </c>
      <c r="F596" s="183">
        <v>-1.2366666666666672E-2</v>
      </c>
      <c r="G596" s="180">
        <v>1425454545.4545453</v>
      </c>
      <c r="H596" s="180">
        <v>273771000</v>
      </c>
      <c r="I596" s="179">
        <v>5.2067404708845908</v>
      </c>
      <c r="J596" s="180">
        <v>0</v>
      </c>
    </row>
    <row r="597" spans="1:11">
      <c r="A597" s="65">
        <v>3229</v>
      </c>
      <c r="B597" s="174">
        <v>-0.19</v>
      </c>
      <c r="C597" s="183">
        <v>0.91304347826086951</v>
      </c>
      <c r="D597" s="176">
        <v>94736842.105263159</v>
      </c>
      <c r="E597" s="26">
        <f>VLOOKUP(3229,季財報!$A:$H,8,0)</f>
        <v>0</v>
      </c>
      <c r="F597" s="183">
        <v>8.7516666666666673E-2</v>
      </c>
      <c r="G597" s="176">
        <v>1714736842.1052632</v>
      </c>
      <c r="H597" s="176">
        <v>792060000</v>
      </c>
      <c r="I597" s="174">
        <v>2.1649077621711275</v>
      </c>
      <c r="J597" s="176">
        <v>0</v>
      </c>
    </row>
    <row r="598" spans="1:11">
      <c r="A598" s="65">
        <v>3230</v>
      </c>
      <c r="B598" s="174">
        <v>-0.42</v>
      </c>
      <c r="C598" s="183">
        <v>1</v>
      </c>
      <c r="D598" s="176">
        <v>107142857.14285715</v>
      </c>
      <c r="E598" s="26">
        <f>VLOOKUP(3230,季財報!$A:$H,8,0)</f>
        <v>0</v>
      </c>
      <c r="F598" s="183">
        <v>1.6983333333333326E-2</v>
      </c>
      <c r="G598" s="176">
        <v>662142857.14285719</v>
      </c>
      <c r="H598" s="176">
        <v>1745632000</v>
      </c>
      <c r="I598" s="174">
        <v>0.37931411496973999</v>
      </c>
      <c r="J598" s="176">
        <v>0</v>
      </c>
    </row>
    <row r="599" spans="1:11">
      <c r="A599" s="65">
        <v>3231</v>
      </c>
      <c r="B599" s="174">
        <v>0.27</v>
      </c>
      <c r="C599" s="183">
        <v>0.20844686648501362</v>
      </c>
      <c r="D599" s="176">
        <v>2433333333.333333</v>
      </c>
      <c r="E599" s="26">
        <f>VLOOKUP(3231,季財報!$A:$H,8,0)</f>
        <v>3</v>
      </c>
      <c r="F599" s="183">
        <v>1.0750000000000001E-2</v>
      </c>
      <c r="G599" s="176">
        <v>39785000000</v>
      </c>
      <c r="H599" s="176">
        <v>622791733000</v>
      </c>
      <c r="I599" s="174">
        <v>6.3881708590373981E-2</v>
      </c>
      <c r="J599" s="176">
        <v>50</v>
      </c>
    </row>
    <row r="600" spans="1:11">
      <c r="A600" s="65">
        <v>3232</v>
      </c>
      <c r="B600" s="174">
        <v>-0.08</v>
      </c>
      <c r="C600" s="183">
        <v>0.5</v>
      </c>
      <c r="D600" s="176">
        <v>37500000</v>
      </c>
      <c r="E600" s="26">
        <f>VLOOKUP(3232,季財報!$A:$H,8,0)</f>
        <v>1</v>
      </c>
      <c r="F600" s="183">
        <v>-1.6091666666666664E-2</v>
      </c>
      <c r="G600" s="176">
        <v>1125000000</v>
      </c>
      <c r="H600" s="176">
        <v>755078000</v>
      </c>
      <c r="I600" s="174">
        <v>1.4899123004510793</v>
      </c>
      <c r="J600" s="176">
        <v>0</v>
      </c>
      <c r="K600" s="32"/>
    </row>
    <row r="601" spans="1:11">
      <c r="A601" s="65">
        <v>3234</v>
      </c>
      <c r="B601" s="174">
        <v>3</v>
      </c>
      <c r="C601" s="183">
        <v>0.94836956521739135</v>
      </c>
      <c r="D601" s="176">
        <v>97666666.666666672</v>
      </c>
      <c r="E601" s="26">
        <f>VLOOKUP(3234,季財報!$A:$H,8,0)</f>
        <v>6</v>
      </c>
      <c r="F601" s="183">
        <v>8.4116666666666673E-2</v>
      </c>
      <c r="G601" s="176">
        <v>9815500000</v>
      </c>
      <c r="H601" s="176">
        <v>4010147000</v>
      </c>
      <c r="I601" s="174">
        <v>2.4476658835698544</v>
      </c>
      <c r="J601" s="176">
        <v>8.8309455587392556</v>
      </c>
    </row>
    <row r="602" spans="1:11">
      <c r="A602" s="65">
        <v>3236</v>
      </c>
      <c r="B602" s="174">
        <v>0.73</v>
      </c>
      <c r="C602" s="183">
        <v>0</v>
      </c>
      <c r="D602" s="176">
        <v>60273972.602739729</v>
      </c>
      <c r="E602" s="26">
        <f>VLOOKUP(3236,季財報!$A:$H,8,0)</f>
        <v>6</v>
      </c>
      <c r="F602" s="183">
        <v>1.9600000000000003E-2</v>
      </c>
      <c r="G602" s="176">
        <v>798630136.98630142</v>
      </c>
      <c r="H602" s="176">
        <v>1830783000</v>
      </c>
      <c r="I602" s="174">
        <v>0.43622326457384702</v>
      </c>
      <c r="J602" s="176">
        <v>0</v>
      </c>
    </row>
    <row r="603" spans="1:11">
      <c r="A603" s="65">
        <v>3252</v>
      </c>
      <c r="B603" s="174">
        <v>-0.98</v>
      </c>
      <c r="C603" s="183">
        <v>0.12121212121212122</v>
      </c>
      <c r="D603" s="176">
        <v>21428571.428571429</v>
      </c>
      <c r="E603" s="26">
        <f>VLOOKUP(3252,季財報!$A:$H,8,0)</f>
        <v>1</v>
      </c>
      <c r="F603" s="183">
        <v>-4.3266666666666655E-2</v>
      </c>
      <c r="G603" s="176">
        <v>445714285.71428573</v>
      </c>
      <c r="H603" s="176">
        <v>154764000</v>
      </c>
      <c r="I603" s="174">
        <v>2.8799610097586372</v>
      </c>
      <c r="J603" s="176">
        <v>0</v>
      </c>
    </row>
    <row r="604" spans="1:11">
      <c r="A604" s="65">
        <v>3257</v>
      </c>
      <c r="B604" s="174">
        <v>0.89</v>
      </c>
      <c r="C604" s="183">
        <v>0.63291139240506333</v>
      </c>
      <c r="D604" s="176">
        <v>59550561.797752805</v>
      </c>
      <c r="E604" s="26">
        <f>VLOOKUP(3257,季財報!$A:$H,8,0)</f>
        <v>2</v>
      </c>
      <c r="F604" s="183">
        <v>-1.6716666666666668E-2</v>
      </c>
      <c r="G604" s="176">
        <v>2432640449.4382024</v>
      </c>
      <c r="H604" s="176">
        <v>827032000</v>
      </c>
      <c r="I604" s="174">
        <v>2.9414103075070885</v>
      </c>
      <c r="J604" s="176">
        <v>18.130056179775281</v>
      </c>
    </row>
    <row r="605" spans="1:11">
      <c r="A605" s="65">
        <v>3259</v>
      </c>
      <c r="B605" s="174">
        <v>-0.65</v>
      </c>
      <c r="C605" s="183">
        <v>1</v>
      </c>
      <c r="D605" s="176">
        <v>80000000</v>
      </c>
      <c r="E605" s="26">
        <f>VLOOKUP(3259,季財報!$A:$H,8,0)</f>
        <v>1</v>
      </c>
      <c r="F605" s="183">
        <v>5.8333333333335006E-5</v>
      </c>
      <c r="G605" s="176">
        <v>2252000000</v>
      </c>
      <c r="H605" s="176">
        <v>508977000</v>
      </c>
      <c r="I605" s="174">
        <v>4.4245614241900908</v>
      </c>
      <c r="J605" s="176">
        <v>0</v>
      </c>
    </row>
    <row r="606" spans="1:11">
      <c r="A606" s="65">
        <v>3260</v>
      </c>
      <c r="B606" s="174">
        <v>0.33</v>
      </c>
      <c r="C606" s="183">
        <v>1</v>
      </c>
      <c r="D606" s="176">
        <v>218181818.18181816</v>
      </c>
      <c r="E606" s="26">
        <f>VLOOKUP(3260,季財報!$A:$H,8,0)</f>
        <v>2</v>
      </c>
      <c r="F606" s="183">
        <v>-7.9750000000000029E-3</v>
      </c>
      <c r="G606" s="176">
        <v>6719999999.999999</v>
      </c>
      <c r="H606" s="176">
        <v>21223199000</v>
      </c>
      <c r="I606" s="174">
        <v>0.3166346411773267</v>
      </c>
      <c r="J606" s="176">
        <v>23.333333333333332</v>
      </c>
      <c r="K606" s="32"/>
    </row>
    <row r="607" spans="1:11">
      <c r="A607" s="65">
        <v>3264</v>
      </c>
      <c r="B607" s="174">
        <v>0.66</v>
      </c>
      <c r="C607" s="183">
        <v>0.93798449612403101</v>
      </c>
      <c r="D607" s="176">
        <v>463636363.63636363</v>
      </c>
      <c r="E607" s="26">
        <f>VLOOKUP(3264,季財報!$A:$H,8,0)</f>
        <v>4</v>
      </c>
      <c r="F607" s="183">
        <v>-8.4416666666666616E-3</v>
      </c>
      <c r="G607" s="176">
        <v>11034545454.545454</v>
      </c>
      <c r="H607" s="176">
        <v>6080322000</v>
      </c>
      <c r="I607" s="174">
        <v>1.8147962319340085</v>
      </c>
      <c r="J607" s="176">
        <v>9.6111945905334331</v>
      </c>
    </row>
    <row r="608" spans="1:11">
      <c r="A608" s="65">
        <v>3265</v>
      </c>
      <c r="B608" s="174">
        <v>-0.89</v>
      </c>
      <c r="C608" s="183">
        <v>0.73611111111111116</v>
      </c>
      <c r="D608" s="176">
        <v>135955056.17977527</v>
      </c>
      <c r="E608" s="26">
        <f>VLOOKUP(3265,季財報!$A:$H,8,0)</f>
        <v>4</v>
      </c>
      <c r="F608" s="183">
        <v>1.5291666666666657E-2</v>
      </c>
      <c r="G608" s="176">
        <v>3065786516.8539324</v>
      </c>
      <c r="H608" s="176">
        <v>1685088000</v>
      </c>
      <c r="I608" s="174">
        <v>1.8193628563338724</v>
      </c>
      <c r="J608" s="176">
        <v>0</v>
      </c>
    </row>
    <row r="609" spans="1:10">
      <c r="A609" s="65">
        <v>3266</v>
      </c>
      <c r="B609" s="174">
        <v>-1.03</v>
      </c>
      <c r="C609" s="183">
        <v>0.94339622641509435</v>
      </c>
      <c r="D609" s="176">
        <v>351456310.67961162</v>
      </c>
      <c r="E609" s="26">
        <f>VLOOKUP(3266,季財報!$A:$H,8,0)</f>
        <v>3</v>
      </c>
      <c r="F609" s="183">
        <v>1.1795333333333333</v>
      </c>
      <c r="G609" s="176">
        <v>4586504854.3689318</v>
      </c>
      <c r="H609" s="176">
        <v>1651621000</v>
      </c>
      <c r="I609" s="174">
        <v>2.7769717473735995</v>
      </c>
      <c r="J609" s="176">
        <v>0</v>
      </c>
    </row>
    <row r="610" spans="1:10">
      <c r="A610" s="65">
        <v>3268</v>
      </c>
      <c r="B610" s="174">
        <v>0.47</v>
      </c>
      <c r="C610" s="183">
        <v>1</v>
      </c>
      <c r="D610" s="176">
        <v>34042553.191489361</v>
      </c>
      <c r="E610" s="26">
        <f>VLOOKUP(3268,季財報!$A:$H,8,0)</f>
        <v>2</v>
      </c>
      <c r="F610" s="183">
        <v>0.10871666666666664</v>
      </c>
      <c r="G610" s="176">
        <v>497021276.59574467</v>
      </c>
      <c r="H610" s="176">
        <v>785871000</v>
      </c>
      <c r="I610" s="174">
        <v>0.63244638954197907</v>
      </c>
      <c r="J610" s="176">
        <v>7.7659574468085113</v>
      </c>
    </row>
    <row r="611" spans="1:10">
      <c r="A611" s="65">
        <v>3272</v>
      </c>
      <c r="B611" s="174">
        <v>1.77</v>
      </c>
      <c r="C611" s="183">
        <v>0.64</v>
      </c>
      <c r="D611" s="176">
        <v>51977401.129943505</v>
      </c>
      <c r="E611" s="26">
        <f>VLOOKUP(3272,季財報!$A:$H,8,0)</f>
        <v>3</v>
      </c>
      <c r="F611" s="183">
        <v>2.356666666666667E-2</v>
      </c>
      <c r="G611" s="176">
        <v>3378531073.4463277</v>
      </c>
      <c r="H611" s="176">
        <v>2957047000</v>
      </c>
      <c r="I611" s="174">
        <v>1.1425354664455207</v>
      </c>
      <c r="J611" s="176">
        <v>14.344985875706215</v>
      </c>
    </row>
    <row r="612" spans="1:10">
      <c r="A612" s="65">
        <v>3276</v>
      </c>
      <c r="B612" s="174">
        <v>0.16</v>
      </c>
      <c r="C612" s="183">
        <v>0.23076923076923078</v>
      </c>
      <c r="D612" s="176">
        <v>68750000</v>
      </c>
      <c r="E612" s="26">
        <f>VLOOKUP(3276,季財報!$A:$H,8,0)</f>
        <v>2</v>
      </c>
      <c r="F612" s="183">
        <v>2.7591666666666667E-2</v>
      </c>
      <c r="G612" s="176">
        <v>645562500</v>
      </c>
      <c r="H612" s="176">
        <v>863648000</v>
      </c>
      <c r="I612" s="174">
        <v>0.7474833496980251</v>
      </c>
      <c r="J612" s="176">
        <v>50</v>
      </c>
    </row>
    <row r="613" spans="1:10">
      <c r="A613" s="65">
        <v>3284</v>
      </c>
      <c r="B613" s="174">
        <v>1.26</v>
      </c>
      <c r="C613" s="183">
        <v>4.3478260869565216E-2</v>
      </c>
      <c r="D613" s="176">
        <v>57142857.142857142</v>
      </c>
      <c r="E613" s="26">
        <f>VLOOKUP(3284,季財報!$A:$H,8,0)</f>
        <v>4</v>
      </c>
      <c r="F613" s="183">
        <v>-1.9625E-2</v>
      </c>
      <c r="G613" s="176">
        <v>548000000</v>
      </c>
      <c r="H613" s="176">
        <v>920090000</v>
      </c>
      <c r="I613" s="174">
        <v>0.59559390929148237</v>
      </c>
      <c r="J613" s="176">
        <v>43.763888888888893</v>
      </c>
    </row>
    <row r="614" spans="1:10">
      <c r="A614" s="65">
        <v>3285</v>
      </c>
      <c r="B614" s="174">
        <v>0.99</v>
      </c>
      <c r="C614" s="183">
        <v>0.57999999999999996</v>
      </c>
      <c r="D614" s="176">
        <v>44444444.444444448</v>
      </c>
      <c r="E614" s="26">
        <f>VLOOKUP(3285,季財報!$A:$H,8,0)</f>
        <v>4</v>
      </c>
      <c r="F614" s="183">
        <v>2.7158333333333329E-2</v>
      </c>
      <c r="G614" s="176">
        <v>1415555555.5555558</v>
      </c>
      <c r="H614" s="176">
        <v>1435674000</v>
      </c>
      <c r="I614" s="174">
        <v>0.98598675991593898</v>
      </c>
      <c r="J614" s="176">
        <v>13.867119470567749</v>
      </c>
    </row>
    <row r="615" spans="1:10">
      <c r="A615" s="65">
        <v>3288</v>
      </c>
      <c r="B615" s="174">
        <v>-0.35</v>
      </c>
      <c r="C615" s="183">
        <v>0.95348837209302328</v>
      </c>
      <c r="D615" s="176">
        <v>48571428.571428575</v>
      </c>
      <c r="E615" s="26">
        <f>VLOOKUP(3288,季財報!$A:$H,8,0)</f>
        <v>3</v>
      </c>
      <c r="F615" s="183">
        <v>3.7566666666666665E-2</v>
      </c>
      <c r="G615" s="176">
        <v>364771428.5714286</v>
      </c>
      <c r="H615" s="176">
        <v>283188000</v>
      </c>
      <c r="I615" s="174">
        <v>1.2880892854620556</v>
      </c>
      <c r="J615" s="176">
        <v>0</v>
      </c>
    </row>
    <row r="616" spans="1:10">
      <c r="A616" s="65">
        <v>3289</v>
      </c>
      <c r="B616" s="174">
        <v>2.0099999999999998</v>
      </c>
      <c r="C616" s="183">
        <v>0</v>
      </c>
      <c r="D616" s="176">
        <v>46766169.154228859</v>
      </c>
      <c r="E616" s="26">
        <f>VLOOKUP(3289,季財報!$A:$H,8,0)</f>
        <v>4</v>
      </c>
      <c r="F616" s="183">
        <v>1.3383333333333336E-2</v>
      </c>
      <c r="G616" s="176">
        <v>4185572139.303483</v>
      </c>
      <c r="H616" s="176">
        <v>1994223000</v>
      </c>
      <c r="I616" s="174">
        <v>2.0988485938149761</v>
      </c>
      <c r="J616" s="176">
        <v>0</v>
      </c>
    </row>
    <row r="617" spans="1:10">
      <c r="A617" s="65">
        <v>3290</v>
      </c>
      <c r="B617" s="174">
        <v>0.22</v>
      </c>
      <c r="C617" s="183">
        <v>0</v>
      </c>
      <c r="D617" s="176">
        <v>100000000</v>
      </c>
      <c r="E617" s="26">
        <f>VLOOKUP(3290,季財報!$A:$H,8,0)</f>
        <v>1</v>
      </c>
      <c r="F617" s="183">
        <v>4.4666666666666631E-3</v>
      </c>
      <c r="G617" s="176">
        <v>1500000000</v>
      </c>
      <c r="H617" s="176">
        <v>2928264000</v>
      </c>
      <c r="I617" s="174">
        <v>0.51224889559138109</v>
      </c>
      <c r="J617" s="176">
        <v>0</v>
      </c>
    </row>
    <row r="618" spans="1:10">
      <c r="A618" s="65">
        <v>3291</v>
      </c>
      <c r="B618" s="174">
        <v>0.21</v>
      </c>
      <c r="C618" s="183">
        <v>0.5</v>
      </c>
      <c r="D618" s="176">
        <v>33333333.333333336</v>
      </c>
      <c r="E618" s="26">
        <f>VLOOKUP(3291,季財報!$A:$H,8,0)</f>
        <v>3</v>
      </c>
      <c r="F618" s="183">
        <v>1.0558333333333334E-2</v>
      </c>
      <c r="G618" s="176">
        <v>563333333.33333337</v>
      </c>
      <c r="H618" s="176">
        <v>702034000</v>
      </c>
      <c r="I618" s="174">
        <v>0.80243027165825787</v>
      </c>
      <c r="J618" s="176">
        <v>40.238095238095234</v>
      </c>
    </row>
    <row r="619" spans="1:10">
      <c r="A619" s="65">
        <v>3293</v>
      </c>
      <c r="B619" s="174">
        <v>1.36</v>
      </c>
      <c r="C619" s="183">
        <v>0.90697674418604646</v>
      </c>
      <c r="D619" s="176">
        <v>69852941.176470578</v>
      </c>
      <c r="E619" s="26">
        <f>VLOOKUP(3293,季財報!$A:$H,8,0)</f>
        <v>5</v>
      </c>
      <c r="F619" s="183">
        <v>2.8525000000000005E-2</v>
      </c>
      <c r="G619" s="176">
        <v>5839705882.3529396</v>
      </c>
      <c r="H619" s="176">
        <v>1775661000</v>
      </c>
      <c r="I619" s="174">
        <v>3.288750432854548</v>
      </c>
      <c r="J619" s="176">
        <v>16.943815987933636</v>
      </c>
    </row>
    <row r="620" spans="1:10">
      <c r="A620" s="65">
        <v>3294</v>
      </c>
      <c r="B620" s="174">
        <v>0.68</v>
      </c>
      <c r="C620" s="183">
        <v>1</v>
      </c>
      <c r="D620" s="176">
        <v>130882352.94117646</v>
      </c>
      <c r="E620" s="26">
        <f>VLOOKUP(3294,季財報!$A:$H,8,0)</f>
        <v>5</v>
      </c>
      <c r="F620" s="183">
        <v>3.2941666666666668E-2</v>
      </c>
      <c r="G620" s="176">
        <v>2571838235.2941175</v>
      </c>
      <c r="H620" s="176">
        <v>5940162000</v>
      </c>
      <c r="I620" s="174">
        <v>0.43295759194683875</v>
      </c>
      <c r="J620" s="176">
        <v>7.2242647058823515</v>
      </c>
    </row>
    <row r="621" spans="1:10">
      <c r="A621" s="65">
        <v>3296</v>
      </c>
      <c r="B621" s="174">
        <v>0.37</v>
      </c>
      <c r="C621" s="183">
        <v>0</v>
      </c>
      <c r="D621" s="176">
        <v>110810810.81081082</v>
      </c>
      <c r="E621" s="26">
        <f>VLOOKUP(3296,季財報!$A:$H,8,0)</f>
        <v>2</v>
      </c>
      <c r="F621" s="183">
        <v>2.3041666666666672E-2</v>
      </c>
      <c r="G621" s="176">
        <v>1645540540.5405407</v>
      </c>
      <c r="H621" s="176">
        <v>2775035000</v>
      </c>
      <c r="I621" s="174">
        <v>0.5929801031484434</v>
      </c>
      <c r="J621" s="176">
        <v>0</v>
      </c>
    </row>
    <row r="622" spans="1:10">
      <c r="A622" s="65">
        <v>3297</v>
      </c>
      <c r="B622" s="174">
        <v>0.46</v>
      </c>
      <c r="C622" s="183">
        <v>0</v>
      </c>
      <c r="D622" s="176">
        <v>36956521.73913043</v>
      </c>
      <c r="E622" s="26">
        <f>VLOOKUP(3297,季財報!$A:$H,8,0)</f>
        <v>1</v>
      </c>
      <c r="F622" s="183">
        <v>-1.8374999999999999E-2</v>
      </c>
      <c r="G622" s="176">
        <v>676304347.82608688</v>
      </c>
      <c r="H622" s="176">
        <v>577658000</v>
      </c>
      <c r="I622" s="174">
        <v>1.1707694653689327</v>
      </c>
      <c r="J622" s="176">
        <v>0</v>
      </c>
    </row>
    <row r="623" spans="1:10">
      <c r="A623" s="65">
        <v>3299</v>
      </c>
      <c r="B623" s="174">
        <v>1.52</v>
      </c>
      <c r="C623" s="183">
        <v>0.67586206896551726</v>
      </c>
      <c r="D623" s="176">
        <v>50657894.736842103</v>
      </c>
      <c r="E623" s="26">
        <f>VLOOKUP(3299,季財報!$A:$H,8,0)</f>
        <v>2</v>
      </c>
      <c r="F623" s="183">
        <v>6.8333333333333328E-3</v>
      </c>
      <c r="G623" s="176">
        <v>2664605263.1578946</v>
      </c>
      <c r="H623" s="176">
        <v>2667897000</v>
      </c>
      <c r="I623" s="174">
        <v>0.99876616794347561</v>
      </c>
      <c r="J623" s="176">
        <v>12.800416219119226</v>
      </c>
    </row>
    <row r="624" spans="1:10">
      <c r="A624" s="65">
        <v>3303</v>
      </c>
      <c r="B624" s="174">
        <v>0.76</v>
      </c>
      <c r="C624" s="183">
        <v>0.81132075471698117</v>
      </c>
      <c r="D624" s="176">
        <v>97368421.052631572</v>
      </c>
      <c r="E624" s="26">
        <f>VLOOKUP(3303,季財報!$A:$H,8,0)</f>
        <v>5</v>
      </c>
      <c r="F624" s="183">
        <v>2.3108333333333328E-2</v>
      </c>
      <c r="G624" s="176">
        <v>1742894736.8421049</v>
      </c>
      <c r="H624" s="176">
        <v>2369047000</v>
      </c>
      <c r="I624" s="174">
        <v>0.73569445301933856</v>
      </c>
      <c r="J624" s="176">
        <v>7.2574969400244784</v>
      </c>
    </row>
    <row r="625" spans="1:10">
      <c r="A625" s="65">
        <v>3305</v>
      </c>
      <c r="B625" s="174">
        <v>0.3</v>
      </c>
      <c r="C625" s="183">
        <v>1</v>
      </c>
      <c r="D625" s="176">
        <v>120000000</v>
      </c>
      <c r="E625" s="26">
        <f>VLOOKUP(3305,季財報!$A:$H,8,0)</f>
        <v>2</v>
      </c>
      <c r="F625" s="183">
        <v>-1.5708333333333335E-2</v>
      </c>
      <c r="G625" s="176">
        <v>2796000000</v>
      </c>
      <c r="H625" s="176">
        <v>4848907000</v>
      </c>
      <c r="I625" s="174">
        <v>0.57662479399996747</v>
      </c>
      <c r="J625" s="176">
        <v>19.416666666666668</v>
      </c>
    </row>
    <row r="626" spans="1:10">
      <c r="A626" s="65">
        <v>3306</v>
      </c>
      <c r="B626" s="174">
        <v>0.3</v>
      </c>
      <c r="C626" s="183">
        <v>0.1111111111111111</v>
      </c>
      <c r="D626" s="176">
        <v>50000000</v>
      </c>
      <c r="E626" s="26">
        <f>VLOOKUP(3306,季財報!$A:$H,8,0)</f>
        <v>3</v>
      </c>
      <c r="F626" s="183">
        <v>9.2999999999999975E-3</v>
      </c>
      <c r="G626" s="176">
        <v>1242500000</v>
      </c>
      <c r="H626" s="176">
        <v>1340098000</v>
      </c>
      <c r="I626" s="174">
        <v>0.92717099794194158</v>
      </c>
      <c r="J626" s="176">
        <v>50</v>
      </c>
    </row>
    <row r="627" spans="1:10">
      <c r="A627" s="65">
        <v>3308</v>
      </c>
      <c r="B627" s="174">
        <v>0.27</v>
      </c>
      <c r="C627" s="183">
        <v>0.24324324324324326</v>
      </c>
      <c r="D627" s="176">
        <v>96296296.296296284</v>
      </c>
      <c r="E627" s="26">
        <f>VLOOKUP(3308,季財報!$A:$H,8,0)</f>
        <v>2</v>
      </c>
      <c r="F627" s="183">
        <v>1.969166666666668E-2</v>
      </c>
      <c r="G627" s="176">
        <v>756888888.88888884</v>
      </c>
      <c r="H627" s="176">
        <v>1592710000</v>
      </c>
      <c r="I627" s="174">
        <v>0.47522078023550351</v>
      </c>
      <c r="J627" s="176">
        <v>29.91975308641975</v>
      </c>
    </row>
    <row r="628" spans="1:10">
      <c r="A628" s="65">
        <v>3310</v>
      </c>
      <c r="B628" s="174">
        <v>0.24</v>
      </c>
      <c r="C628" s="183">
        <v>0.5641025641025641</v>
      </c>
      <c r="D628" s="176">
        <v>112500000</v>
      </c>
      <c r="E628" s="26">
        <f>VLOOKUP(3310,季財報!$A:$H,8,0)</f>
        <v>2</v>
      </c>
      <c r="F628" s="183">
        <v>4.31666666666667E-3</v>
      </c>
      <c r="G628" s="176">
        <v>1462500000</v>
      </c>
      <c r="H628" s="176">
        <v>457315000</v>
      </c>
      <c r="I628" s="174">
        <v>3.1980144976657225</v>
      </c>
      <c r="J628" s="176">
        <v>24.00568181818182</v>
      </c>
    </row>
    <row r="629" spans="1:10">
      <c r="A629" s="65">
        <v>3311</v>
      </c>
      <c r="B629" s="174">
        <v>0.37</v>
      </c>
      <c r="C629" s="183">
        <v>0</v>
      </c>
      <c r="D629" s="176">
        <v>178378378.37837839</v>
      </c>
      <c r="E629" s="26">
        <f>VLOOKUP(3311,季財報!$A:$H,8,0)</f>
        <v>4</v>
      </c>
      <c r="F629" s="183">
        <v>-1.5258333333333332E-2</v>
      </c>
      <c r="G629" s="176">
        <v>3201891891.891892</v>
      </c>
      <c r="H629" s="176">
        <v>3604918000</v>
      </c>
      <c r="I629" s="174">
        <v>0.88820103311417675</v>
      </c>
      <c r="J629" s="176">
        <v>0</v>
      </c>
    </row>
    <row r="630" spans="1:10">
      <c r="A630" s="65">
        <v>3312</v>
      </c>
      <c r="B630" s="174">
        <v>-0.37</v>
      </c>
      <c r="C630" s="183">
        <v>0.79069767441860461</v>
      </c>
      <c r="D630" s="176">
        <v>108108108.1081081</v>
      </c>
      <c r="E630" s="26">
        <f>VLOOKUP(3312,季財報!$A:$H,8,0)</f>
        <v>3</v>
      </c>
      <c r="F630" s="183">
        <v>3.7175E-2</v>
      </c>
      <c r="G630" s="176">
        <v>721081081.08108103</v>
      </c>
      <c r="H630" s="176">
        <v>16429555000</v>
      </c>
      <c r="I630" s="174">
        <v>4.3889264260722885E-2</v>
      </c>
      <c r="J630" s="176">
        <v>0</v>
      </c>
    </row>
    <row r="631" spans="1:10">
      <c r="A631" s="65">
        <v>3313</v>
      </c>
      <c r="B631" s="174">
        <v>0.04</v>
      </c>
      <c r="C631" s="183">
        <v>1</v>
      </c>
      <c r="D631" s="176">
        <v>75000000</v>
      </c>
      <c r="E631" s="26">
        <f>VLOOKUP(3313,季財報!$A:$H,8,0)</f>
        <v>4</v>
      </c>
      <c r="F631" s="183">
        <v>-1.8391666666666664E-2</v>
      </c>
      <c r="G631" s="176">
        <v>576750000</v>
      </c>
      <c r="H631" s="176">
        <v>1792992000</v>
      </c>
      <c r="I631" s="174">
        <v>0.32166903142903036</v>
      </c>
      <c r="J631" s="176">
        <v>48.0625</v>
      </c>
    </row>
    <row r="632" spans="1:10">
      <c r="A632" s="65">
        <v>3315</v>
      </c>
      <c r="B632" s="174">
        <v>0.77</v>
      </c>
      <c r="C632" s="183">
        <v>0</v>
      </c>
      <c r="D632" s="176">
        <v>71428571.428571433</v>
      </c>
      <c r="E632" s="26">
        <f>VLOOKUP(3315,季財報!$A:$H,8,0)</f>
        <v>3</v>
      </c>
      <c r="F632" s="183">
        <v>2.6283333333333329E-2</v>
      </c>
      <c r="G632" s="176">
        <v>1164285714.2857144</v>
      </c>
      <c r="H632" s="176">
        <v>8966671000</v>
      </c>
      <c r="I632" s="174">
        <v>0.12984592768996592</v>
      </c>
      <c r="J632" s="176">
        <v>0</v>
      </c>
    </row>
    <row r="633" spans="1:10">
      <c r="A633" s="65">
        <v>3317</v>
      </c>
      <c r="B633" s="174">
        <v>-0.06</v>
      </c>
      <c r="C633" s="183">
        <v>1</v>
      </c>
      <c r="D633" s="176">
        <v>66666666.666666672</v>
      </c>
      <c r="E633" s="26">
        <f>VLOOKUP(3317,季財報!$A:$H,8,0)</f>
        <v>4</v>
      </c>
      <c r="F633" s="183">
        <v>2.41E-2</v>
      </c>
      <c r="G633" s="176">
        <v>743333333.33333337</v>
      </c>
      <c r="H633" s="176">
        <v>1973036000</v>
      </c>
      <c r="I633" s="174">
        <v>0.37674595564061342</v>
      </c>
      <c r="J633" s="176">
        <v>0</v>
      </c>
    </row>
    <row r="634" spans="1:10">
      <c r="A634" s="65">
        <v>3322</v>
      </c>
      <c r="B634" s="174">
        <v>-0.02</v>
      </c>
      <c r="C634" s="183">
        <v>1</v>
      </c>
      <c r="D634" s="176">
        <v>50000000</v>
      </c>
      <c r="E634" s="26">
        <f>VLOOKUP(3322,季財報!$A:$H,8,0)</f>
        <v>1</v>
      </c>
      <c r="F634" s="183">
        <v>-1.6916666666666653E-3</v>
      </c>
      <c r="G634" s="176">
        <v>545000000</v>
      </c>
      <c r="H634" s="176">
        <v>2100468000</v>
      </c>
      <c r="I634" s="174">
        <v>0.25946598567557327</v>
      </c>
      <c r="J634" s="176">
        <v>0</v>
      </c>
    </row>
    <row r="635" spans="1:10">
      <c r="A635" s="65">
        <v>3323</v>
      </c>
      <c r="B635" s="174">
        <v>0.76</v>
      </c>
      <c r="C635" s="183">
        <v>0.16666666666666666</v>
      </c>
      <c r="D635" s="176">
        <v>94736842.105263159</v>
      </c>
      <c r="E635" s="26">
        <f>VLOOKUP(3323,季財報!$A:$H,8,0)</f>
        <v>4</v>
      </c>
      <c r="F635" s="183">
        <v>2.2166666666666632E-3</v>
      </c>
      <c r="G635" s="176">
        <v>1719473684.2105262</v>
      </c>
      <c r="H635" s="176">
        <v>5013530000</v>
      </c>
      <c r="I635" s="174">
        <v>0.34296666903569467</v>
      </c>
      <c r="J635" s="176">
        <v>35.82236842105263</v>
      </c>
    </row>
    <row r="636" spans="1:10">
      <c r="A636" s="65">
        <v>3324</v>
      </c>
      <c r="B636" s="174">
        <v>1.99</v>
      </c>
      <c r="C636" s="183">
        <v>0.52898550724637683</v>
      </c>
      <c r="D636" s="176">
        <v>70854271.356783926</v>
      </c>
      <c r="E636" s="26">
        <f>VLOOKUP(3324,季財報!$A:$H,8,0)</f>
        <v>4</v>
      </c>
      <c r="F636" s="183">
        <v>2.763333333333334E-2</v>
      </c>
      <c r="G636" s="176">
        <v>1923693467.3366835</v>
      </c>
      <c r="H636" s="176">
        <v>4674709000</v>
      </c>
      <c r="I636" s="174">
        <v>0.41151084855478354</v>
      </c>
      <c r="J636" s="176">
        <v>6.4478212982721823</v>
      </c>
    </row>
    <row r="637" spans="1:10">
      <c r="A637" s="65">
        <v>3325</v>
      </c>
      <c r="B637" s="174">
        <v>0.04</v>
      </c>
      <c r="C637" s="183">
        <v>0</v>
      </c>
      <c r="D637" s="176">
        <v>75000000</v>
      </c>
      <c r="E637" s="26">
        <f>VLOOKUP(3325,季財報!$A:$H,8,0)</f>
        <v>3</v>
      </c>
      <c r="F637" s="183">
        <v>7.2283333333333338E-2</v>
      </c>
      <c r="G637" s="176">
        <v>1072500000</v>
      </c>
      <c r="H637" s="176">
        <v>1293973000</v>
      </c>
      <c r="I637" s="174">
        <v>0.82884264200257651</v>
      </c>
      <c r="J637" s="176">
        <v>0</v>
      </c>
    </row>
    <row r="638" spans="1:10">
      <c r="A638" s="65">
        <v>3332</v>
      </c>
      <c r="B638" s="174">
        <v>0.84</v>
      </c>
      <c r="C638" s="183">
        <v>0.7</v>
      </c>
      <c r="D638" s="176">
        <v>48809523.809523813</v>
      </c>
      <c r="E638" s="26">
        <f>VLOOKUP(3332,季財報!$A:$H,8,0)</f>
        <v>4</v>
      </c>
      <c r="F638" s="183">
        <v>3.2583333333333332E-2</v>
      </c>
      <c r="G638" s="176">
        <v>0</v>
      </c>
      <c r="H638" s="176">
        <v>1147636000</v>
      </c>
      <c r="I638" s="174">
        <v>0</v>
      </c>
      <c r="J638" s="176">
        <v>0</v>
      </c>
    </row>
    <row r="639" spans="1:10">
      <c r="A639" s="65">
        <v>3338</v>
      </c>
      <c r="B639" s="174">
        <v>0.7</v>
      </c>
      <c r="C639" s="183">
        <v>0.69491525423728817</v>
      </c>
      <c r="D639" s="176">
        <v>70000000</v>
      </c>
      <c r="E639" s="26">
        <f>VLOOKUP(3338,季財報!$A:$H,8,0)</f>
        <v>5</v>
      </c>
      <c r="F639" s="183">
        <v>2.0249999999999994E-2</v>
      </c>
      <c r="G639" s="176">
        <v>1582000000</v>
      </c>
      <c r="H639" s="176">
        <v>2509048000</v>
      </c>
      <c r="I639" s="174">
        <v>0.63051802914890431</v>
      </c>
      <c r="J639" s="176">
        <v>11.614982578397214</v>
      </c>
    </row>
    <row r="640" spans="1:10">
      <c r="A640" s="65">
        <v>3339</v>
      </c>
      <c r="B640" s="174">
        <v>-0.82</v>
      </c>
      <c r="C640" s="183">
        <v>1</v>
      </c>
      <c r="D640" s="176">
        <v>275609756.097561</v>
      </c>
      <c r="E640" s="26">
        <f>VLOOKUP(3339,季財報!$A:$H,8,0)</f>
        <v>2</v>
      </c>
      <c r="F640" s="183">
        <v>-5.1583333333333335E-2</v>
      </c>
      <c r="G640" s="176">
        <v>1105195121.9512196</v>
      </c>
      <c r="H640" s="176">
        <v>1191739000</v>
      </c>
      <c r="I640" s="174">
        <v>0.92738017464496802</v>
      </c>
      <c r="J640" s="176">
        <v>0</v>
      </c>
    </row>
    <row r="641" spans="1:10">
      <c r="A641" s="65">
        <v>3354</v>
      </c>
      <c r="B641" s="174">
        <v>0.34</v>
      </c>
      <c r="C641" s="183">
        <v>0</v>
      </c>
      <c r="D641" s="176">
        <v>82352941.176470578</v>
      </c>
      <c r="E641" s="26">
        <f>VLOOKUP(3354,季財報!$A:$H,8,0)</f>
        <v>5</v>
      </c>
      <c r="F641" s="183">
        <v>1.4166666666666031E-4</v>
      </c>
      <c r="G641" s="176">
        <v>655529411.76470578</v>
      </c>
      <c r="H641" s="176">
        <v>588061000</v>
      </c>
      <c r="I641" s="174">
        <v>1.1147302945862858</v>
      </c>
      <c r="J641" s="176">
        <v>0</v>
      </c>
    </row>
    <row r="642" spans="1:10">
      <c r="A642" s="65">
        <v>3356</v>
      </c>
      <c r="B642" s="174">
        <v>1.67</v>
      </c>
      <c r="C642" s="183">
        <v>0.589622641509434</v>
      </c>
      <c r="D642" s="176">
        <v>77245508.982035935</v>
      </c>
      <c r="E642" s="26">
        <f>VLOOKUP(3356,季財報!$A:$H,8,0)</f>
        <v>4</v>
      </c>
      <c r="F642" s="183">
        <v>-1.0916666666666661E-3</v>
      </c>
      <c r="G642" s="176">
        <v>5924730538.9221563</v>
      </c>
      <c r="H642" s="176">
        <v>2127826000</v>
      </c>
      <c r="I642" s="174">
        <v>2.784405557090738</v>
      </c>
      <c r="J642" s="176">
        <v>19.473532934131736</v>
      </c>
    </row>
    <row r="643" spans="1:10">
      <c r="A643" s="65">
        <v>3360</v>
      </c>
      <c r="B643" s="174">
        <v>0.46</v>
      </c>
      <c r="C643" s="183">
        <v>1</v>
      </c>
      <c r="D643" s="176">
        <v>76086956.521739125</v>
      </c>
      <c r="E643" s="26">
        <f>VLOOKUP(3360,季財報!$A:$H,8,0)</f>
        <v>1</v>
      </c>
      <c r="F643" s="183">
        <v>2.6908333333333329E-2</v>
      </c>
      <c r="G643" s="176">
        <v>924456521.73913038</v>
      </c>
      <c r="H643" s="176">
        <v>12249172000</v>
      </c>
      <c r="I643" s="174">
        <v>7.5470939728753128E-2</v>
      </c>
      <c r="J643" s="176">
        <v>6.6032608695652177</v>
      </c>
    </row>
    <row r="644" spans="1:10">
      <c r="A644" s="65">
        <v>3362</v>
      </c>
      <c r="B644" s="174">
        <v>0.03</v>
      </c>
      <c r="C644" s="183">
        <v>1</v>
      </c>
      <c r="D644" s="176">
        <v>100000000</v>
      </c>
      <c r="E644" s="26">
        <f>VLOOKUP(3362,季財報!$A:$H,8,0)</f>
        <v>3</v>
      </c>
      <c r="F644" s="183">
        <v>1.401666666666667E-2</v>
      </c>
      <c r="G644" s="176">
        <v>1460000000</v>
      </c>
      <c r="H644" s="176">
        <v>1276457000</v>
      </c>
      <c r="I644" s="174">
        <v>1.1437909776827577</v>
      </c>
      <c r="J644" s="176">
        <v>50</v>
      </c>
    </row>
    <row r="645" spans="1:10">
      <c r="A645" s="65">
        <v>3363</v>
      </c>
      <c r="B645" s="174">
        <v>0.23</v>
      </c>
      <c r="C645" s="183">
        <v>0</v>
      </c>
      <c r="D645" s="176">
        <v>78260869.565217391</v>
      </c>
      <c r="E645" s="26">
        <f>VLOOKUP(3363,季財報!$A:$H,8,0)</f>
        <v>3</v>
      </c>
      <c r="F645" s="183">
        <v>1.0575000000000003E-2</v>
      </c>
      <c r="G645" s="176">
        <v>1917391304.347826</v>
      </c>
      <c r="H645" s="176">
        <v>926926000</v>
      </c>
      <c r="I645" s="174">
        <v>2.0685484109279768</v>
      </c>
      <c r="J645" s="176">
        <v>0</v>
      </c>
    </row>
    <row r="646" spans="1:10">
      <c r="A646" s="65">
        <v>3372</v>
      </c>
      <c r="B646" s="174">
        <v>0</v>
      </c>
      <c r="C646" s="183">
        <v>0</v>
      </c>
      <c r="D646" s="176">
        <v>0</v>
      </c>
      <c r="E646" s="26">
        <f>VLOOKUP(3372,季財報!$A:$H,8,0)</f>
        <v>4</v>
      </c>
      <c r="F646" s="183">
        <v>-3.4483333333333338E-2</v>
      </c>
      <c r="G646" s="176">
        <v>0</v>
      </c>
      <c r="H646" s="176">
        <v>1892769000</v>
      </c>
      <c r="I646" s="174">
        <v>0</v>
      </c>
      <c r="J646" s="176">
        <v>0</v>
      </c>
    </row>
    <row r="647" spans="1:10">
      <c r="A647" s="65">
        <v>3373</v>
      </c>
      <c r="B647" s="174">
        <v>0.66</v>
      </c>
      <c r="C647" s="183">
        <v>0.48780487804878048</v>
      </c>
      <c r="D647" s="176">
        <v>42424242.424242422</v>
      </c>
      <c r="E647" s="26">
        <f>VLOOKUP(3373,季財報!$A:$H,8,0)</f>
        <v>4</v>
      </c>
      <c r="F647" s="183">
        <v>2.5991666666666666E-2</v>
      </c>
      <c r="G647" s="176">
        <v>1179393939.3939393</v>
      </c>
      <c r="H647" s="176">
        <v>881623000</v>
      </c>
      <c r="I647" s="174">
        <v>1.3377531432300873</v>
      </c>
      <c r="J647" s="176">
        <v>21.587121212121211</v>
      </c>
    </row>
    <row r="648" spans="1:10">
      <c r="A648" s="65">
        <v>3374</v>
      </c>
      <c r="B648" s="174">
        <v>-7.0000000000000007E-2</v>
      </c>
      <c r="C648" s="183">
        <v>1</v>
      </c>
      <c r="D648" s="176">
        <v>257142857.1428571</v>
      </c>
      <c r="E648" s="26">
        <f>VLOOKUP(3374,季財報!$A:$H,8,0)</f>
        <v>0</v>
      </c>
      <c r="F648" s="183">
        <v>-7.4666666666666701E-3</v>
      </c>
      <c r="G648" s="176">
        <v>9925714285.7142849</v>
      </c>
      <c r="H648" s="176">
        <v>5212591000</v>
      </c>
      <c r="I648" s="174">
        <v>1.9041805285920734</v>
      </c>
      <c r="J648" s="176">
        <v>0</v>
      </c>
    </row>
    <row r="649" spans="1:10">
      <c r="A649" s="65">
        <v>3376</v>
      </c>
      <c r="B649" s="174">
        <v>2.73</v>
      </c>
      <c r="C649" s="183">
        <v>0.8584070796460177</v>
      </c>
      <c r="D649" s="176">
        <v>178754578.75457877</v>
      </c>
      <c r="E649" s="26">
        <f>VLOOKUP(3376,季財報!$A:$H,8,0)</f>
        <v>3</v>
      </c>
      <c r="F649" s="183">
        <v>1.4883333333333333E-2</v>
      </c>
      <c r="G649" s="176">
        <v>20646153846.153847</v>
      </c>
      <c r="H649" s="176">
        <v>8254143000</v>
      </c>
      <c r="I649" s="174">
        <v>2.5013079911692646</v>
      </c>
      <c r="J649" s="176">
        <v>12.321570182394925</v>
      </c>
    </row>
    <row r="650" spans="1:10">
      <c r="A650" s="65">
        <v>3379</v>
      </c>
      <c r="B650" s="174">
        <v>-0.46</v>
      </c>
      <c r="C650" s="183">
        <v>1</v>
      </c>
      <c r="D650" s="176">
        <v>39130434.782608695</v>
      </c>
      <c r="E650" s="26">
        <f>VLOOKUP(3379,季財報!$A:$H,8,0)</f>
        <v>0</v>
      </c>
      <c r="F650" s="183">
        <v>1.1550916666666666</v>
      </c>
      <c r="G650" s="176">
        <v>592826086.95652175</v>
      </c>
      <c r="H650" s="176">
        <v>1385842000</v>
      </c>
      <c r="I650" s="174">
        <v>0.42777321437546395</v>
      </c>
      <c r="J650" s="176">
        <v>0</v>
      </c>
    </row>
    <row r="651" spans="1:10">
      <c r="A651" s="65">
        <v>3380</v>
      </c>
      <c r="B651" s="174">
        <v>-0.65</v>
      </c>
      <c r="C651" s="183">
        <v>0</v>
      </c>
      <c r="D651" s="176">
        <v>0</v>
      </c>
      <c r="E651" s="26">
        <f>VLOOKUP(3380,季財報!$A:$H,8,0)</f>
        <v>0</v>
      </c>
      <c r="F651" s="183">
        <v>3.1616666666666661E-2</v>
      </c>
      <c r="G651" s="176">
        <v>0</v>
      </c>
      <c r="H651" s="176">
        <v>23737343000</v>
      </c>
      <c r="I651" s="174">
        <v>0</v>
      </c>
      <c r="J651" s="176">
        <v>0</v>
      </c>
    </row>
    <row r="652" spans="1:10">
      <c r="A652" s="65">
        <v>3383</v>
      </c>
      <c r="B652" s="174">
        <v>-1.26</v>
      </c>
      <c r="C652" s="183">
        <v>0.95726495726495731</v>
      </c>
      <c r="D652" s="176">
        <v>314285714.28571427</v>
      </c>
      <c r="E652" s="26">
        <f>VLOOKUP(3383,季財報!$A:$H,8,0)</f>
        <v>0</v>
      </c>
      <c r="F652" s="183">
        <v>-2.8058333333333338E-2</v>
      </c>
      <c r="G652" s="176">
        <v>2558285714.2857141</v>
      </c>
      <c r="H652" s="176">
        <v>2798106000</v>
      </c>
      <c r="I652" s="174">
        <v>0.91429192256680558</v>
      </c>
      <c r="J652" s="176">
        <v>0</v>
      </c>
    </row>
    <row r="653" spans="1:10">
      <c r="A653" s="65">
        <v>3388</v>
      </c>
      <c r="B653" s="174">
        <v>1.33</v>
      </c>
      <c r="C653" s="183">
        <v>0.98742138364779874</v>
      </c>
      <c r="D653" s="176">
        <v>62406015.037593983</v>
      </c>
      <c r="E653" s="26">
        <f>VLOOKUP(3388,季財報!$A:$H,8,0)</f>
        <v>0</v>
      </c>
      <c r="F653" s="183">
        <v>5.8999999999999947E-3</v>
      </c>
      <c r="G653" s="176">
        <v>3844210526.3157892</v>
      </c>
      <c r="H653" s="176">
        <v>7146839000</v>
      </c>
      <c r="I653" s="174">
        <v>0.53788962173567767</v>
      </c>
      <c r="J653" s="176">
        <v>11.726449882668454</v>
      </c>
    </row>
    <row r="654" spans="1:10">
      <c r="A654" s="65">
        <v>3390</v>
      </c>
      <c r="B654" s="174">
        <v>0.41</v>
      </c>
      <c r="C654" s="183">
        <v>0</v>
      </c>
      <c r="D654" s="176">
        <v>65853658.536585368</v>
      </c>
      <c r="E654" s="26">
        <f>VLOOKUP(3390,季財報!$A:$H,8,0)</f>
        <v>0</v>
      </c>
      <c r="F654" s="183">
        <v>7.5500000000000012E-3</v>
      </c>
      <c r="G654" s="176">
        <v>1017439024.3902439</v>
      </c>
      <c r="H654" s="176">
        <v>826195000</v>
      </c>
      <c r="I654" s="174">
        <v>1.2314756496834813</v>
      </c>
      <c r="J654" s="176">
        <v>0</v>
      </c>
    </row>
    <row r="655" spans="1:10">
      <c r="A655" s="65">
        <v>3402</v>
      </c>
      <c r="B655" s="174">
        <v>0.24</v>
      </c>
      <c r="C655" s="183">
        <v>0.84848484848484851</v>
      </c>
      <c r="D655" s="176">
        <v>70833333.333333343</v>
      </c>
      <c r="E655" s="26">
        <f>VLOOKUP(3402,季財報!$A:$H,8,0)</f>
        <v>0</v>
      </c>
      <c r="F655" s="183">
        <v>2.4224999999999993E-2</v>
      </c>
      <c r="G655" s="176">
        <v>981041666.66666675</v>
      </c>
      <c r="H655" s="176">
        <v>2457363000</v>
      </c>
      <c r="I655" s="174">
        <v>0.39922537560249211</v>
      </c>
      <c r="J655" s="176">
        <v>17.003348214285712</v>
      </c>
    </row>
    <row r="656" spans="1:10">
      <c r="A656" s="65">
        <v>3406</v>
      </c>
      <c r="B656" s="174">
        <v>-0.53</v>
      </c>
      <c r="C656" s="183">
        <v>0.87671232876712324</v>
      </c>
      <c r="D656" s="176">
        <v>100000000</v>
      </c>
      <c r="E656" s="26">
        <f>VLOOKUP(3406,季財報!$A:$H,8,0)</f>
        <v>0</v>
      </c>
      <c r="F656" s="183">
        <v>7.5825000000000017E-2</v>
      </c>
      <c r="G656" s="176">
        <v>7100000000</v>
      </c>
      <c r="H656" s="176">
        <v>9495195000</v>
      </c>
      <c r="I656" s="174">
        <v>0.74774662342374221</v>
      </c>
      <c r="J656" s="176">
        <v>0</v>
      </c>
    </row>
    <row r="657" spans="1:10">
      <c r="A657" s="65">
        <v>3413</v>
      </c>
      <c r="B657" s="174">
        <v>2.5099999999999998</v>
      </c>
      <c r="C657" s="183">
        <v>0.78731343283582089</v>
      </c>
      <c r="D657" s="176">
        <v>65737051.792828694</v>
      </c>
      <c r="E657" s="26">
        <f>VLOOKUP(3413,季財報!$A:$H,8,0)</f>
        <v>0</v>
      </c>
      <c r="F657" s="183">
        <v>5.2458333333333329E-2</v>
      </c>
      <c r="G657" s="176">
        <v>4982868525.8964148</v>
      </c>
      <c r="H657" s="176">
        <v>4933645000</v>
      </c>
      <c r="I657" s="174">
        <v>1.0099771114250042</v>
      </c>
      <c r="J657" s="176">
        <v>9.5893204433451036</v>
      </c>
    </row>
    <row r="658" spans="1:10">
      <c r="A658" s="65">
        <v>3416</v>
      </c>
      <c r="B658" s="174">
        <v>0.91</v>
      </c>
      <c r="C658" s="183">
        <v>0.99009900990099009</v>
      </c>
      <c r="D658" s="176">
        <v>60439560.439560436</v>
      </c>
      <c r="E658" s="26">
        <f>VLOOKUP(3416,季財報!$A:$H,8,0)</f>
        <v>0</v>
      </c>
      <c r="F658" s="183">
        <v>2.8616666666666669E-2</v>
      </c>
      <c r="G658" s="176">
        <v>3517582417.5824175</v>
      </c>
      <c r="H658" s="176">
        <v>1508015000</v>
      </c>
      <c r="I658" s="174">
        <v>2.3325911331004119</v>
      </c>
      <c r="J658" s="176">
        <v>16.148901098901099</v>
      </c>
    </row>
    <row r="659" spans="1:10">
      <c r="A659" s="65">
        <v>3419</v>
      </c>
      <c r="B659" s="174">
        <v>0.05</v>
      </c>
      <c r="C659" s="183">
        <v>0.93023255813953487</v>
      </c>
      <c r="D659" s="176">
        <v>120000000</v>
      </c>
      <c r="E659" s="26">
        <f>VLOOKUP(3419,季財報!$A:$H,8,0)</f>
        <v>0</v>
      </c>
      <c r="F659" s="183">
        <v>3.5541666666666659E-2</v>
      </c>
      <c r="G659" s="176">
        <v>1674000000</v>
      </c>
      <c r="H659" s="176">
        <v>2154180000</v>
      </c>
      <c r="I659" s="174">
        <v>0.77709383616967942</v>
      </c>
      <c r="J659" s="176">
        <v>50</v>
      </c>
    </row>
    <row r="660" spans="1:10">
      <c r="A660" s="65">
        <v>3428</v>
      </c>
      <c r="B660" s="174">
        <v>1.31</v>
      </c>
      <c r="C660" s="183">
        <v>0.94974874371859297</v>
      </c>
      <c r="D660" s="176">
        <v>95419847.328244269</v>
      </c>
      <c r="E660" s="26">
        <f>VLOOKUP(3428,季財報!$A:$H,8,0)</f>
        <v>0</v>
      </c>
      <c r="F660" s="183">
        <v>6.7941666666666664E-2</v>
      </c>
      <c r="G660" s="176">
        <v>4198473282.4427481</v>
      </c>
      <c r="H660" s="176">
        <v>1770068000</v>
      </c>
      <c r="I660" s="174">
        <v>2.3719276787347989</v>
      </c>
      <c r="J660" s="176">
        <v>8.8412294519164742</v>
      </c>
    </row>
    <row r="661" spans="1:10">
      <c r="A661" s="65">
        <v>3431</v>
      </c>
      <c r="B661" s="174">
        <v>-1.47</v>
      </c>
      <c r="C661" s="183">
        <v>0.50724637681159424</v>
      </c>
      <c r="D661" s="176">
        <v>35374149.659863949</v>
      </c>
      <c r="E661" s="26">
        <f>VLOOKUP(3431,季財報!$A:$H,8,0)</f>
        <v>0</v>
      </c>
      <c r="F661" s="183">
        <v>-2.863333333333333E-2</v>
      </c>
      <c r="G661" s="176">
        <v>309523809.52380955</v>
      </c>
      <c r="H661" s="176">
        <v>550156000</v>
      </c>
      <c r="I661" s="174">
        <v>0.56261098583639835</v>
      </c>
      <c r="J661" s="176">
        <v>0</v>
      </c>
    </row>
    <row r="662" spans="1:10">
      <c r="A662" s="65">
        <v>3432</v>
      </c>
      <c r="B662" s="174">
        <v>0.33</v>
      </c>
      <c r="C662" s="183">
        <v>0</v>
      </c>
      <c r="D662" s="176">
        <v>66666666.666666664</v>
      </c>
      <c r="E662" s="26">
        <f>VLOOKUP(3432,季財報!$A:$H,8,0)</f>
        <v>0</v>
      </c>
      <c r="F662" s="183">
        <v>-4.4649999999999995E-2</v>
      </c>
      <c r="G662" s="176">
        <v>943333333.33333337</v>
      </c>
      <c r="H662" s="176">
        <v>889314000</v>
      </c>
      <c r="I662" s="174">
        <v>1.060742699803819</v>
      </c>
      <c r="J662" s="176">
        <v>0</v>
      </c>
    </row>
    <row r="663" spans="1:10">
      <c r="A663" s="65">
        <v>3434</v>
      </c>
      <c r="B663" s="174">
        <v>0.44</v>
      </c>
      <c r="C663" s="183">
        <v>0.5</v>
      </c>
      <c r="D663" s="176">
        <v>22727272.727272727</v>
      </c>
      <c r="E663" s="26">
        <f>VLOOKUP(3434,季財報!$A:$H,8,0)</f>
        <v>0</v>
      </c>
      <c r="F663" s="183">
        <v>3.2991666666666669E-2</v>
      </c>
      <c r="G663" s="176">
        <v>286363636.36363637</v>
      </c>
      <c r="H663" s="176">
        <v>695583000</v>
      </c>
      <c r="I663" s="174">
        <v>0.41168866456430991</v>
      </c>
      <c r="J663" s="176">
        <v>14.318181818181818</v>
      </c>
    </row>
    <row r="664" spans="1:10">
      <c r="A664" s="65">
        <v>3437</v>
      </c>
      <c r="B664" s="174">
        <v>0.57999999999999996</v>
      </c>
      <c r="C664" s="183">
        <v>0.83720930232558144</v>
      </c>
      <c r="D664" s="176">
        <v>143103448.27586207</v>
      </c>
      <c r="E664" s="26">
        <f>VLOOKUP(3437,季財報!$A:$H,8,0)</f>
        <v>0</v>
      </c>
      <c r="F664" s="183">
        <v>-1.5250000000000005E-2</v>
      </c>
      <c r="G664" s="176">
        <v>3520344827.5862069</v>
      </c>
      <c r="H664" s="176">
        <v>6374651000</v>
      </c>
      <c r="I664" s="174">
        <v>0.55224118584471638</v>
      </c>
      <c r="J664" s="176">
        <v>12.665229885057473</v>
      </c>
    </row>
    <row r="665" spans="1:10">
      <c r="A665" s="65">
        <v>3438</v>
      </c>
      <c r="B665" s="174">
        <v>-0.3</v>
      </c>
      <c r="C665" s="183">
        <v>1</v>
      </c>
      <c r="D665" s="176">
        <v>40000000</v>
      </c>
      <c r="E665" s="26">
        <f>VLOOKUP(3438,季財報!$A:$H,8,0)</f>
        <v>0</v>
      </c>
      <c r="F665" s="183">
        <v>-8.6416666666666603E-3</v>
      </c>
      <c r="G665" s="176">
        <v>720000000</v>
      </c>
      <c r="H665" s="176">
        <v>915865000</v>
      </c>
      <c r="I665" s="174">
        <v>0.78614206242186346</v>
      </c>
      <c r="J665" s="176">
        <v>0</v>
      </c>
    </row>
    <row r="666" spans="1:10">
      <c r="A666" s="65">
        <v>3441</v>
      </c>
      <c r="B666" s="174">
        <v>0.23</v>
      </c>
      <c r="C666" s="183">
        <v>1</v>
      </c>
      <c r="D666" s="176">
        <v>39130434.782608695</v>
      </c>
      <c r="E666" s="26">
        <f>VLOOKUP(3441,季財報!$A:$H,8,0)</f>
        <v>0</v>
      </c>
      <c r="F666" s="183">
        <v>3.5033333333333326E-2</v>
      </c>
      <c r="G666" s="176">
        <v>485217391.30434781</v>
      </c>
      <c r="H666" s="176">
        <v>733177000</v>
      </c>
      <c r="I666" s="174">
        <v>0.6618011630265922</v>
      </c>
      <c r="J666" s="176">
        <v>13.478260869565217</v>
      </c>
    </row>
    <row r="667" spans="1:10">
      <c r="A667" s="65">
        <v>3443</v>
      </c>
      <c r="B667" s="174">
        <v>0.92</v>
      </c>
      <c r="C667" s="183">
        <v>0.94339622641509435</v>
      </c>
      <c r="D667" s="176">
        <v>133695652.17391303</v>
      </c>
      <c r="E667" s="26">
        <f>VLOOKUP(3443,季財報!$A:$H,8,0)</f>
        <v>0</v>
      </c>
      <c r="F667" s="183">
        <v>3.2633333333333327E-2</v>
      </c>
      <c r="G667" s="176">
        <v>9158152173.9130421</v>
      </c>
      <c r="H667" s="176">
        <v>7520194000</v>
      </c>
      <c r="I667" s="174">
        <v>1.217807967974369</v>
      </c>
      <c r="J667" s="176">
        <v>19.730978260869566</v>
      </c>
    </row>
    <row r="668" spans="1:10">
      <c r="A668" s="65">
        <v>3444</v>
      </c>
      <c r="B668" s="174">
        <v>0.32</v>
      </c>
      <c r="C668" s="183">
        <v>0.5</v>
      </c>
      <c r="D668" s="176">
        <v>40625000</v>
      </c>
      <c r="E668" s="26">
        <f>VLOOKUP(3444,季財報!$A:$H,8,0)</f>
        <v>0</v>
      </c>
      <c r="F668" s="183">
        <v>-5.4833333333333331E-3</v>
      </c>
      <c r="G668" s="176">
        <v>0</v>
      </c>
      <c r="H668" s="176">
        <v>993445000</v>
      </c>
      <c r="I668" s="174">
        <v>0</v>
      </c>
      <c r="J668" s="176">
        <v>0</v>
      </c>
    </row>
    <row r="669" spans="1:10">
      <c r="A669" s="65">
        <v>3450</v>
      </c>
      <c r="B669" s="174">
        <v>3.57</v>
      </c>
      <c r="C669" s="183">
        <v>0.86454849498327757</v>
      </c>
      <c r="D669" s="176">
        <v>91876750.700280115</v>
      </c>
      <c r="E669" s="26">
        <f>VLOOKUP(3450,季財報!$A:$H,8,0)</f>
        <v>0</v>
      </c>
      <c r="F669" s="183">
        <v>2.1491666666666659E-2</v>
      </c>
      <c r="G669" s="176">
        <v>12678991596.638657</v>
      </c>
      <c r="H669" s="176">
        <v>6826774000</v>
      </c>
      <c r="I669" s="174">
        <v>1.8572449588398059</v>
      </c>
      <c r="J669" s="176">
        <v>11.177933455780765</v>
      </c>
    </row>
    <row r="670" spans="1:10">
      <c r="A670" s="65">
        <v>3452</v>
      </c>
      <c r="B670" s="174">
        <v>-0.23</v>
      </c>
      <c r="C670" s="183">
        <v>1</v>
      </c>
      <c r="D670" s="176">
        <v>782608695.65217388</v>
      </c>
      <c r="E670" s="26">
        <f>VLOOKUP(3452,季財報!$A:$H,8,0)</f>
        <v>0</v>
      </c>
      <c r="F670" s="183">
        <v>0.10494166666666666</v>
      </c>
      <c r="G670" s="176">
        <v>9626086956.52174</v>
      </c>
      <c r="H670" s="176">
        <v>4145979000</v>
      </c>
      <c r="I670" s="174">
        <v>2.3217886430495041</v>
      </c>
      <c r="J670" s="176">
        <v>0</v>
      </c>
    </row>
    <row r="671" spans="1:10">
      <c r="A671" s="65">
        <v>3454</v>
      </c>
      <c r="B671" s="174">
        <v>2.0499999999999998</v>
      </c>
      <c r="C671" s="183">
        <v>0.83860759493670889</v>
      </c>
      <c r="D671" s="176">
        <v>76585365.853658542</v>
      </c>
      <c r="E671" s="26">
        <f>VLOOKUP(3454,季財報!$A:$H,8,0)</f>
        <v>0</v>
      </c>
      <c r="F671" s="183">
        <v>2.1958333333333333E-2</v>
      </c>
      <c r="G671" s="176">
        <v>5797512195.1219521</v>
      </c>
      <c r="H671" s="176">
        <v>3921429000</v>
      </c>
      <c r="I671" s="174">
        <v>1.4784182488378477</v>
      </c>
      <c r="J671" s="176">
        <v>11.008375517717441</v>
      </c>
    </row>
    <row r="672" spans="1:10">
      <c r="A672" s="65">
        <v>3455</v>
      </c>
      <c r="B672" s="174">
        <v>1.32</v>
      </c>
      <c r="C672" s="183">
        <v>0.56000000000000005</v>
      </c>
      <c r="D672" s="176">
        <v>61363636.36363636</v>
      </c>
      <c r="E672" s="26">
        <f>VLOOKUP(3455,季財報!$A:$H,8,0)</f>
        <v>0</v>
      </c>
      <c r="F672" s="183">
        <v>-8.7416666666666597E-3</v>
      </c>
      <c r="G672" s="176">
        <v>1748863636.3636363</v>
      </c>
      <c r="H672" s="176">
        <v>1325583000</v>
      </c>
      <c r="I672" s="174">
        <v>1.3193165847507371</v>
      </c>
      <c r="J672" s="176">
        <v>9.6387987012987004</v>
      </c>
    </row>
    <row r="673" spans="1:10">
      <c r="A673" s="65">
        <v>3465</v>
      </c>
      <c r="B673" s="174">
        <v>-0.86</v>
      </c>
      <c r="C673" s="183">
        <v>1</v>
      </c>
      <c r="D673" s="176">
        <v>26744186.046511628</v>
      </c>
      <c r="E673" s="26">
        <f>VLOOKUP(3465,季財報!$A:$H,8,0)</f>
        <v>0</v>
      </c>
      <c r="F673" s="183">
        <v>7.8016666666666679E-2</v>
      </c>
      <c r="G673" s="176">
        <v>267441860.46511626</v>
      </c>
      <c r="H673" s="176">
        <v>231022000</v>
      </c>
      <c r="I673" s="174">
        <v>1.1576467196419227</v>
      </c>
      <c r="J673" s="176">
        <v>0</v>
      </c>
    </row>
    <row r="674" spans="1:10">
      <c r="A674" s="65">
        <v>3466</v>
      </c>
      <c r="B674" s="174">
        <v>0.32</v>
      </c>
      <c r="C674" s="183">
        <v>0</v>
      </c>
      <c r="D674" s="176">
        <v>81250000</v>
      </c>
      <c r="E674" s="26">
        <f>VLOOKUP(3466,季財報!$A:$H,8,0)</f>
        <v>0</v>
      </c>
      <c r="F674" s="183">
        <v>0.10055833333333335</v>
      </c>
      <c r="G674" s="176">
        <v>0</v>
      </c>
      <c r="H674" s="176">
        <v>1676865000</v>
      </c>
      <c r="I674" s="174">
        <v>0</v>
      </c>
      <c r="J674" s="176">
        <v>0</v>
      </c>
    </row>
    <row r="675" spans="1:10">
      <c r="A675" s="65">
        <v>3474</v>
      </c>
      <c r="B675" s="174">
        <v>0.88</v>
      </c>
      <c r="C675" s="183">
        <v>0.78807180081065431</v>
      </c>
      <c r="D675" s="176">
        <v>6561363636.363636</v>
      </c>
      <c r="E675" s="26">
        <f>VLOOKUP(3474,季財報!$A:$H,8,0)</f>
        <v>0</v>
      </c>
      <c r="F675" s="183">
        <v>-3.2825E-2</v>
      </c>
      <c r="G675" s="176">
        <v>148286818181.81818</v>
      </c>
      <c r="H675" s="176">
        <v>67535324000</v>
      </c>
      <c r="I675" s="174">
        <v>2.1956927041886729</v>
      </c>
      <c r="J675" s="176">
        <v>8.1470426157237323</v>
      </c>
    </row>
    <row r="676" spans="1:10">
      <c r="A676" s="65">
        <v>3479</v>
      </c>
      <c r="B676" s="174">
        <v>1.57</v>
      </c>
      <c r="C676" s="183">
        <v>0.8783783783783784</v>
      </c>
      <c r="D676" s="176">
        <v>68152866.24203822</v>
      </c>
      <c r="E676" s="26">
        <f>VLOOKUP(3479,季財報!$A:$H,8,0)</f>
        <v>0</v>
      </c>
      <c r="F676" s="183">
        <v>3.8308333333333333E-2</v>
      </c>
      <c r="G676" s="176">
        <v>4934267515.9235678</v>
      </c>
      <c r="H676" s="176">
        <v>4255523000</v>
      </c>
      <c r="I676" s="174">
        <v>1.1594973205228987</v>
      </c>
      <c r="J676" s="176">
        <v>13.124938755512005</v>
      </c>
    </row>
    <row r="677" spans="1:10">
      <c r="A677" s="65">
        <v>3481</v>
      </c>
      <c r="B677" s="174">
        <v>0.35</v>
      </c>
      <c r="C677" s="183">
        <v>1</v>
      </c>
      <c r="D677" s="176">
        <v>9948571428.5714283</v>
      </c>
      <c r="E677" s="26">
        <f>VLOOKUP(3481,季財報!$A:$H,8,0)</f>
        <v>0</v>
      </c>
      <c r="F677" s="183">
        <v>-1.2341666666666666E-2</v>
      </c>
      <c r="G677" s="176">
        <v>101475428571.42856</v>
      </c>
      <c r="H677" s="176">
        <v>388917509000</v>
      </c>
      <c r="I677" s="174">
        <v>0.26091761420653486</v>
      </c>
      <c r="J677" s="176">
        <v>7.2857142857142856</v>
      </c>
    </row>
    <row r="678" spans="1:10">
      <c r="A678" s="65">
        <v>3483</v>
      </c>
      <c r="B678" s="174">
        <v>0.14000000000000001</v>
      </c>
      <c r="C678" s="183">
        <v>1</v>
      </c>
      <c r="D678" s="176">
        <v>49999999.999999993</v>
      </c>
      <c r="E678" s="26">
        <f>VLOOKUP(3483,季財報!$A:$H,8,0)</f>
        <v>0</v>
      </c>
      <c r="F678" s="183">
        <v>3.0974999999999999E-2</v>
      </c>
      <c r="G678" s="176">
        <v>597499999.99999988</v>
      </c>
      <c r="H678" s="176">
        <v>2733964000</v>
      </c>
      <c r="I678" s="174">
        <v>0.2185471352219707</v>
      </c>
      <c r="J678" s="176">
        <v>21.339285714285712</v>
      </c>
    </row>
    <row r="679" spans="1:10">
      <c r="A679" s="65">
        <v>3484</v>
      </c>
      <c r="B679" s="179">
        <v>0.78</v>
      </c>
      <c r="C679" s="183">
        <v>0.81481481481481477</v>
      </c>
      <c r="D679" s="180">
        <v>64102564.102564104</v>
      </c>
      <c r="E679" s="26">
        <f>VLOOKUP(3484,季財報!$A:$H,8,0)</f>
        <v>0</v>
      </c>
      <c r="F679" s="183">
        <v>1.3133333333333337E-2</v>
      </c>
      <c r="G679" s="180">
        <v>2259615384.6153846</v>
      </c>
      <c r="H679" s="180">
        <v>3262534000</v>
      </c>
      <c r="I679" s="179">
        <v>0.69259519888999921</v>
      </c>
      <c r="J679" s="180">
        <v>13.865821678321678</v>
      </c>
    </row>
    <row r="680" spans="1:10">
      <c r="A680" s="65">
        <v>3489</v>
      </c>
      <c r="B680" s="174">
        <v>0.2</v>
      </c>
      <c r="C680" s="183">
        <v>1</v>
      </c>
      <c r="D680" s="176">
        <v>80000000</v>
      </c>
      <c r="E680" s="26">
        <f>VLOOKUP(3489,季財報!$A:$H,8,0)</f>
        <v>0</v>
      </c>
      <c r="F680" s="183">
        <v>0.49763333333333337</v>
      </c>
      <c r="G680" s="176">
        <v>796000000</v>
      </c>
      <c r="H680" s="176">
        <v>825240000</v>
      </c>
      <c r="I680" s="174">
        <v>0.96456788328243903</v>
      </c>
      <c r="J680" s="176">
        <v>12.437499999999998</v>
      </c>
    </row>
    <row r="681" spans="1:10">
      <c r="A681" s="65">
        <v>3490</v>
      </c>
      <c r="B681" s="174">
        <v>1.31</v>
      </c>
      <c r="C681" s="183">
        <v>0.93004115226337447</v>
      </c>
      <c r="D681" s="176">
        <v>61832061.068702288</v>
      </c>
      <c r="E681" s="26">
        <f>VLOOKUP(3490,季財報!$A:$H,8,0)</f>
        <v>0</v>
      </c>
      <c r="F681" s="183">
        <v>-2.6775000000000007E-2</v>
      </c>
      <c r="G681" s="176">
        <v>4958931297.7099237</v>
      </c>
      <c r="H681" s="176">
        <v>2471088000</v>
      </c>
      <c r="I681" s="174">
        <v>2.0067805346106344</v>
      </c>
      <c r="J681" s="176">
        <v>16.456630412754173</v>
      </c>
    </row>
    <row r="682" spans="1:10">
      <c r="A682" s="65">
        <v>3491</v>
      </c>
      <c r="B682" s="174">
        <v>1.49</v>
      </c>
      <c r="C682" s="183">
        <v>0.78014184397163122</v>
      </c>
      <c r="D682" s="176">
        <v>51677852.348993286</v>
      </c>
      <c r="E682" s="26">
        <f>VLOOKUP(3491,季財報!$A:$H,8,0)</f>
        <v>0</v>
      </c>
      <c r="F682" s="183">
        <v>2.1966666666666666E-2</v>
      </c>
      <c r="G682" s="176">
        <v>3886174496.6442952</v>
      </c>
      <c r="H682" s="176">
        <v>1389656000</v>
      </c>
      <c r="I682" s="174">
        <v>2.79650107411064</v>
      </c>
      <c r="J682" s="176">
        <v>16.17327638804149</v>
      </c>
    </row>
    <row r="683" spans="1:10">
      <c r="A683" s="65">
        <v>3492</v>
      </c>
      <c r="B683" s="174">
        <v>1.07</v>
      </c>
      <c r="C683" s="183">
        <v>0.70175438596491224</v>
      </c>
      <c r="D683" s="176">
        <v>35514018.691588782</v>
      </c>
      <c r="E683" s="26">
        <f>VLOOKUP(3492,季財報!$A:$H,8,0)</f>
        <v>0</v>
      </c>
      <c r="F683" s="183">
        <v>7.8608333333333336E-2</v>
      </c>
      <c r="G683" s="176">
        <v>1310467289.7196259</v>
      </c>
      <c r="H683" s="176">
        <v>1120492000</v>
      </c>
      <c r="I683" s="174">
        <v>1.1695463151183818</v>
      </c>
      <c r="J683" s="176">
        <v>12.285630841121495</v>
      </c>
    </row>
    <row r="684" spans="1:10">
      <c r="A684" s="65">
        <v>3494</v>
      </c>
      <c r="B684" s="174">
        <v>-0.12</v>
      </c>
      <c r="C684" s="183">
        <v>0.75</v>
      </c>
      <c r="D684" s="176">
        <v>183333333.33333334</v>
      </c>
      <c r="E684" s="26">
        <f>VLOOKUP(3494,季財報!$A:$H,8,0)</f>
        <v>0</v>
      </c>
      <c r="F684" s="183">
        <v>1.0125E-2</v>
      </c>
      <c r="G684" s="176">
        <v>2291666666.666667</v>
      </c>
      <c r="H684" s="176">
        <v>1791323000</v>
      </c>
      <c r="I684" s="174">
        <v>1.2793151579400628</v>
      </c>
      <c r="J684" s="176">
        <v>0</v>
      </c>
    </row>
    <row r="685" spans="1:10">
      <c r="A685" s="65">
        <v>3498</v>
      </c>
      <c r="B685" s="174">
        <v>2.8</v>
      </c>
      <c r="C685" s="183">
        <v>1</v>
      </c>
      <c r="D685" s="176">
        <v>76785714.285714284</v>
      </c>
      <c r="E685" s="26">
        <f>VLOOKUP(3498,季財報!$A:$H,8,0)</f>
        <v>0</v>
      </c>
      <c r="F685" s="183">
        <v>6.4766666666666681E-2</v>
      </c>
      <c r="G685" s="176">
        <v>5543928571.4285717</v>
      </c>
      <c r="H685" s="176">
        <v>3170253000</v>
      </c>
      <c r="I685" s="174">
        <v>1.7487337986679838</v>
      </c>
      <c r="J685" s="176">
        <v>6.4464285714285721</v>
      </c>
    </row>
    <row r="686" spans="1:10">
      <c r="A686" s="65">
        <v>3499</v>
      </c>
      <c r="B686" s="174">
        <v>0.3</v>
      </c>
      <c r="C686" s="183">
        <v>0</v>
      </c>
      <c r="D686" s="176">
        <v>0</v>
      </c>
      <c r="E686" s="26">
        <f>VLOOKUP(3499,季財報!$A:$H,8,0)</f>
        <v>0</v>
      </c>
      <c r="F686" s="183">
        <v>6.0108333333333326E-2</v>
      </c>
      <c r="G686" s="176">
        <v>0</v>
      </c>
      <c r="H686" s="176">
        <v>619683000</v>
      </c>
      <c r="I686" s="174">
        <v>0</v>
      </c>
      <c r="J686" s="176">
        <v>0</v>
      </c>
    </row>
    <row r="687" spans="1:10">
      <c r="A687" s="65">
        <v>3501</v>
      </c>
      <c r="B687" s="174">
        <v>2.31</v>
      </c>
      <c r="C687" s="183">
        <v>0.53333333333333333</v>
      </c>
      <c r="D687" s="176">
        <v>115584415.58441558</v>
      </c>
      <c r="E687" s="26">
        <f>VLOOKUP(3501,季財報!$A:$H,8,0)</f>
        <v>0</v>
      </c>
      <c r="F687" s="183">
        <v>2.9999999999999705E-4</v>
      </c>
      <c r="G687" s="176">
        <v>6276233766.2337656</v>
      </c>
      <c r="H687" s="176">
        <v>5552966000</v>
      </c>
      <c r="I687" s="174">
        <v>1.1302489095437944</v>
      </c>
      <c r="J687" s="176">
        <v>11.018668831168831</v>
      </c>
    </row>
    <row r="688" spans="1:10">
      <c r="A688" s="65">
        <v>3504</v>
      </c>
      <c r="B688" s="174">
        <v>0.5</v>
      </c>
      <c r="C688" s="183">
        <v>0.54838709677419351</v>
      </c>
      <c r="D688" s="176">
        <v>116000000</v>
      </c>
      <c r="E688" s="26">
        <f>VLOOKUP(3504,季財報!$A:$H,8,0)</f>
        <v>0</v>
      </c>
      <c r="F688" s="183">
        <v>5.3933333333333333E-2</v>
      </c>
      <c r="G688" s="176">
        <v>4442800000</v>
      </c>
      <c r="H688" s="176">
        <v>4731572000</v>
      </c>
      <c r="I688" s="174">
        <v>0.93896912062206805</v>
      </c>
      <c r="J688" s="176">
        <v>34.920588235294119</v>
      </c>
    </row>
    <row r="689" spans="1:10">
      <c r="A689" s="65">
        <v>3508</v>
      </c>
      <c r="B689" s="174">
        <v>-0.85</v>
      </c>
      <c r="C689" s="183">
        <v>0.83854166666666663</v>
      </c>
      <c r="D689" s="176">
        <v>91764705.882352948</v>
      </c>
      <c r="E689" s="26">
        <f>VLOOKUP(3508,季財報!$A:$H,8,0)</f>
        <v>0</v>
      </c>
      <c r="F689" s="183">
        <v>-5.0583333333333383E-3</v>
      </c>
      <c r="G689" s="176">
        <v>1422352941.1764708</v>
      </c>
      <c r="H689" s="176">
        <v>3030465000</v>
      </c>
      <c r="I689" s="174">
        <v>0.46935138375677354</v>
      </c>
      <c r="J689" s="176">
        <v>0</v>
      </c>
    </row>
    <row r="690" spans="1:10">
      <c r="A690" s="65">
        <v>3511</v>
      </c>
      <c r="B690" s="174">
        <v>1.01</v>
      </c>
      <c r="C690" s="183">
        <v>0.73170731707317072</v>
      </c>
      <c r="D690" s="176">
        <v>39603960.396039605</v>
      </c>
      <c r="E690" s="26">
        <f>VLOOKUP(3511,季財報!$A:$H,8,0)</f>
        <v>0</v>
      </c>
      <c r="F690" s="183">
        <v>3.8716666666666663E-2</v>
      </c>
      <c r="G690" s="176">
        <v>1334653465.3465347</v>
      </c>
      <c r="H690" s="176">
        <v>1202237000</v>
      </c>
      <c r="I690" s="174">
        <v>1.1101417319102096</v>
      </c>
      <c r="J690" s="176">
        <v>11.400165016501651</v>
      </c>
    </row>
    <row r="691" spans="1:10">
      <c r="A691" s="65">
        <v>3512</v>
      </c>
      <c r="B691" s="174">
        <v>0.72</v>
      </c>
      <c r="C691" s="183">
        <v>1</v>
      </c>
      <c r="D691" s="176">
        <v>59722222.222222224</v>
      </c>
      <c r="E691" s="26">
        <f>VLOOKUP(3512,季財報!$A:$H,8,0)</f>
        <v>0</v>
      </c>
      <c r="F691" s="183">
        <v>0.12030833333333331</v>
      </c>
      <c r="G691" s="176">
        <v>1833472222.2222223</v>
      </c>
      <c r="H691" s="176">
        <v>804377000</v>
      </c>
      <c r="I691" s="174">
        <v>2.2793692786121711</v>
      </c>
      <c r="J691" s="176">
        <v>10.659722222222223</v>
      </c>
    </row>
    <row r="692" spans="1:10">
      <c r="A692" s="65">
        <v>3514</v>
      </c>
      <c r="B692" s="174">
        <v>0.32</v>
      </c>
      <c r="C692" s="183">
        <v>0.82530120481927716</v>
      </c>
      <c r="D692" s="176">
        <v>434375000</v>
      </c>
      <c r="E692" s="26">
        <f>VLOOKUP(3514,季財報!$A:$H,8,0)</f>
        <v>0</v>
      </c>
      <c r="F692" s="183">
        <v>6.8491666666666659E-2</v>
      </c>
      <c r="G692" s="176">
        <v>11228593750</v>
      </c>
      <c r="H692" s="176">
        <v>15821875000</v>
      </c>
      <c r="I692" s="174">
        <v>0.70968793205609326</v>
      </c>
      <c r="J692" s="176">
        <v>24.470232664233578</v>
      </c>
    </row>
    <row r="693" spans="1:10">
      <c r="A693" s="65">
        <v>3515</v>
      </c>
      <c r="B693" s="174">
        <v>0.55000000000000004</v>
      </c>
      <c r="C693" s="183">
        <v>1</v>
      </c>
      <c r="D693" s="176">
        <v>114545454.54545453</v>
      </c>
      <c r="E693" s="26">
        <f>VLOOKUP(3515,季財報!$A:$H,8,0)</f>
        <v>0</v>
      </c>
      <c r="F693" s="183">
        <v>1.8558333333333333E-2</v>
      </c>
      <c r="G693" s="176">
        <v>5440909090.90909</v>
      </c>
      <c r="H693" s="176">
        <v>7232024000</v>
      </c>
      <c r="I693" s="174">
        <v>0.75233559663367955</v>
      </c>
      <c r="J693" s="176">
        <v>21.59090909090909</v>
      </c>
    </row>
    <row r="694" spans="1:10">
      <c r="A694" s="65">
        <v>3516</v>
      </c>
      <c r="B694" s="174">
        <v>0.97</v>
      </c>
      <c r="C694" s="183">
        <v>0</v>
      </c>
      <c r="D694" s="176">
        <v>71134020.618556708</v>
      </c>
      <c r="E694" s="26">
        <f>VLOOKUP(3516,季財報!$A:$H,8,0)</f>
        <v>0</v>
      </c>
      <c r="F694" s="183">
        <v>7.7183333333333312E-2</v>
      </c>
      <c r="G694" s="176">
        <v>649453608.24742281</v>
      </c>
      <c r="H694" s="176">
        <v>758703000</v>
      </c>
      <c r="I694" s="174">
        <v>0.856005061595147</v>
      </c>
      <c r="J694" s="176">
        <v>0</v>
      </c>
    </row>
    <row r="695" spans="1:10">
      <c r="A695" s="65">
        <v>3518</v>
      </c>
      <c r="B695" s="174">
        <v>-0.51</v>
      </c>
      <c r="C695" s="183">
        <v>1</v>
      </c>
      <c r="D695" s="176">
        <v>86274509.803921565</v>
      </c>
      <c r="E695" s="26">
        <f>VLOOKUP(3518,季財報!$A:$H,8,0)</f>
        <v>0</v>
      </c>
      <c r="F695" s="183">
        <v>2.3941666666666667E-2</v>
      </c>
      <c r="G695" s="176">
        <v>2976470588.2352939</v>
      </c>
      <c r="H695" s="176">
        <v>1234101000</v>
      </c>
      <c r="I695" s="174">
        <v>2.4118533152758923</v>
      </c>
      <c r="J695" s="176">
        <v>0</v>
      </c>
    </row>
    <row r="696" spans="1:10">
      <c r="A696" s="65">
        <v>3519</v>
      </c>
      <c r="B696" s="174">
        <v>-1.37</v>
      </c>
      <c r="C696" s="183">
        <v>1</v>
      </c>
      <c r="D696" s="176">
        <v>413868613.13868612</v>
      </c>
      <c r="E696" s="26">
        <f>VLOOKUP(3519,季財報!$A:$H,8,0)</f>
        <v>0</v>
      </c>
      <c r="F696" s="183">
        <v>-6.2916666666666676E-3</v>
      </c>
      <c r="G696" s="176">
        <v>7201313868.6131382</v>
      </c>
      <c r="H696" s="176">
        <v>15353547000</v>
      </c>
      <c r="I696" s="174">
        <v>0.46903258697245259</v>
      </c>
      <c r="J696" s="176">
        <v>0</v>
      </c>
    </row>
    <row r="697" spans="1:10">
      <c r="A697" s="65">
        <v>3520</v>
      </c>
      <c r="B697" s="174">
        <v>0.15</v>
      </c>
      <c r="C697" s="183">
        <v>1</v>
      </c>
      <c r="D697" s="176">
        <v>53333333.333333336</v>
      </c>
      <c r="E697" s="26">
        <f>VLOOKUP(3520,季財報!$A:$H,8,0)</f>
        <v>0</v>
      </c>
      <c r="F697" s="183">
        <v>1.9375000000000007E-2</v>
      </c>
      <c r="G697" s="176">
        <v>4768000000.000001</v>
      </c>
      <c r="H697" s="176">
        <v>574925000</v>
      </c>
      <c r="I697" s="174">
        <v>8.2932556420402683</v>
      </c>
      <c r="J697" s="176">
        <v>50</v>
      </c>
    </row>
    <row r="698" spans="1:10">
      <c r="A698" s="65">
        <v>3521</v>
      </c>
      <c r="B698" s="174">
        <v>0.36</v>
      </c>
      <c r="C698" s="183">
        <v>1</v>
      </c>
      <c r="D698" s="176">
        <v>47222222.222222224</v>
      </c>
      <c r="E698" s="26">
        <f>VLOOKUP(3521,季財報!$A:$H,8,0)</f>
        <v>0</v>
      </c>
      <c r="F698" s="183">
        <v>0.18156666666666665</v>
      </c>
      <c r="G698" s="176">
        <v>731944444.44444442</v>
      </c>
      <c r="H698" s="176">
        <v>538249000</v>
      </c>
      <c r="I698" s="174">
        <v>1.3598621538441213</v>
      </c>
      <c r="J698" s="176">
        <v>10.763888888888889</v>
      </c>
    </row>
    <row r="699" spans="1:10">
      <c r="A699" s="65">
        <v>3522</v>
      </c>
      <c r="B699" s="174">
        <v>0.13</v>
      </c>
      <c r="C699" s="183">
        <v>1</v>
      </c>
      <c r="D699" s="176">
        <v>46153846.153846152</v>
      </c>
      <c r="E699" s="26">
        <f>VLOOKUP(3522,季財報!$A:$H,8,0)</f>
        <v>0</v>
      </c>
      <c r="F699" s="183">
        <v>-1.8491666666666667E-2</v>
      </c>
      <c r="G699" s="176">
        <v>473076923.07692307</v>
      </c>
      <c r="H699" s="176">
        <v>1608865000</v>
      </c>
      <c r="I699" s="174">
        <v>0.29404388999507297</v>
      </c>
      <c r="J699" s="176">
        <v>19.71153846153846</v>
      </c>
    </row>
    <row r="700" spans="1:10">
      <c r="A700" s="65">
        <v>3523</v>
      </c>
      <c r="B700" s="174">
        <v>-0.56999999999999995</v>
      </c>
      <c r="C700" s="183">
        <v>1</v>
      </c>
      <c r="D700" s="176">
        <v>96491228.070175454</v>
      </c>
      <c r="E700" s="26">
        <f>VLOOKUP(3523,季財報!$A:$H,8,0)</f>
        <v>0</v>
      </c>
      <c r="F700" s="183">
        <v>-2.5458333333333333E-2</v>
      </c>
      <c r="G700" s="176">
        <v>2228947368.4210529</v>
      </c>
      <c r="H700" s="176">
        <v>1003128000</v>
      </c>
      <c r="I700" s="174">
        <v>2.221996961924154</v>
      </c>
      <c r="J700" s="176">
        <v>0</v>
      </c>
    </row>
    <row r="701" spans="1:10">
      <c r="A701" s="65">
        <v>3526</v>
      </c>
      <c r="B701" s="174">
        <v>0.64</v>
      </c>
      <c r="C701" s="183">
        <v>0</v>
      </c>
      <c r="D701" s="176">
        <v>65625000</v>
      </c>
      <c r="E701" s="26">
        <f>VLOOKUP(3526,季財報!$A:$H,8,0)</f>
        <v>0</v>
      </c>
      <c r="F701" s="183">
        <v>1.6475E-2</v>
      </c>
      <c r="G701" s="176">
        <v>1414218750</v>
      </c>
      <c r="H701" s="176">
        <v>1684933000</v>
      </c>
      <c r="I701" s="174">
        <v>0.83933233546971897</v>
      </c>
      <c r="J701" s="176">
        <v>0</v>
      </c>
    </row>
    <row r="702" spans="1:10">
      <c r="A702" s="65">
        <v>3527</v>
      </c>
      <c r="B702" s="174">
        <v>1.59</v>
      </c>
      <c r="C702" s="183">
        <v>0.86363636363636365</v>
      </c>
      <c r="D702" s="176">
        <v>32704402.515723269</v>
      </c>
      <c r="E702" s="26">
        <f>VLOOKUP(3527,季財報!$A:$H,8,0)</f>
        <v>0</v>
      </c>
      <c r="F702" s="183">
        <v>1.6750000000000001E-2</v>
      </c>
      <c r="G702" s="176">
        <v>1438993710.691824</v>
      </c>
      <c r="H702" s="176">
        <v>2073728000</v>
      </c>
      <c r="I702" s="174">
        <v>0.69391632397875902</v>
      </c>
      <c r="J702" s="176">
        <v>8.0105925190334322</v>
      </c>
    </row>
    <row r="703" spans="1:10">
      <c r="A703" s="65">
        <v>3528</v>
      </c>
      <c r="B703" s="174">
        <v>0.9</v>
      </c>
      <c r="C703" s="183">
        <v>1</v>
      </c>
      <c r="D703" s="176">
        <v>56666666.666666664</v>
      </c>
      <c r="E703" s="26">
        <f>VLOOKUP(3528,季財報!$A:$H,8,0)</f>
        <v>0</v>
      </c>
      <c r="F703" s="183">
        <v>2.9766666666666663E-2</v>
      </c>
      <c r="G703" s="176">
        <v>1776500000</v>
      </c>
      <c r="H703" s="176">
        <v>3258710000</v>
      </c>
      <c r="I703" s="174">
        <v>0.54515437090136898</v>
      </c>
      <c r="J703" s="176">
        <v>8.7083333333333339</v>
      </c>
    </row>
    <row r="704" spans="1:10">
      <c r="A704" s="65">
        <v>3529</v>
      </c>
      <c r="B704" s="174">
        <v>1.4</v>
      </c>
      <c r="C704" s="183">
        <v>0.90677966101694918</v>
      </c>
      <c r="D704" s="176">
        <v>75714285.714285716</v>
      </c>
      <c r="E704" s="26">
        <f>VLOOKUP(3529,季財報!$A:$H,8,0)</f>
        <v>0</v>
      </c>
      <c r="F704" s="183">
        <v>2.386141666666667</v>
      </c>
      <c r="G704" s="176">
        <v>24796428571.428574</v>
      </c>
      <c r="H704" s="176">
        <v>1076912000</v>
      </c>
      <c r="I704" s="174">
        <v>10</v>
      </c>
      <c r="J704" s="176">
        <v>50</v>
      </c>
    </row>
    <row r="705" spans="1:10">
      <c r="A705" s="65">
        <v>3531</v>
      </c>
      <c r="B705" s="174">
        <v>0.14000000000000001</v>
      </c>
      <c r="C705" s="183">
        <v>0</v>
      </c>
      <c r="D705" s="176">
        <v>57142857.142857134</v>
      </c>
      <c r="E705" s="26">
        <f>VLOOKUP(3531,季財報!$A:$H,8,0)</f>
        <v>0</v>
      </c>
      <c r="F705" s="183">
        <v>1.4699999999999998E-2</v>
      </c>
      <c r="G705" s="176">
        <v>845714285.71428561</v>
      </c>
      <c r="H705" s="176">
        <v>1769851000</v>
      </c>
      <c r="I705" s="174">
        <v>0.47784490655670203</v>
      </c>
      <c r="J705" s="176">
        <v>0</v>
      </c>
    </row>
    <row r="706" spans="1:10">
      <c r="A706" s="65">
        <v>3532</v>
      </c>
      <c r="B706" s="174">
        <v>0.53</v>
      </c>
      <c r="C706" s="183">
        <v>0.93565683646112596</v>
      </c>
      <c r="D706" s="176">
        <v>781132075.47169805</v>
      </c>
      <c r="E706" s="26">
        <f>VLOOKUP(3532,季財報!$A:$H,8,0)</f>
        <v>0</v>
      </c>
      <c r="F706" s="183">
        <v>-5.0833333333333286E-4</v>
      </c>
      <c r="G706" s="176">
        <v>29526792452.830185</v>
      </c>
      <c r="H706" s="176">
        <v>10870307000</v>
      </c>
      <c r="I706" s="174">
        <v>2.7162795358797305</v>
      </c>
      <c r="J706" s="176">
        <v>19.056333459479912</v>
      </c>
    </row>
    <row r="707" spans="1:10">
      <c r="A707" s="65">
        <v>3533</v>
      </c>
      <c r="B707" s="174">
        <v>3.3</v>
      </c>
      <c r="C707" s="183">
        <v>0.49742268041237114</v>
      </c>
      <c r="D707" s="176">
        <v>93636363.63636364</v>
      </c>
      <c r="E707" s="26">
        <f>VLOOKUP(3533,季財報!$A:$H,8,0)</f>
        <v>0</v>
      </c>
      <c r="F707" s="183">
        <v>1.6525000000000001E-2</v>
      </c>
      <c r="G707" s="176">
        <v>11049090909.09091</v>
      </c>
      <c r="H707" s="176">
        <v>8081674000</v>
      </c>
      <c r="I707" s="174">
        <v>1.3671784965702538</v>
      </c>
      <c r="J707" s="176">
        <v>17.971424085413723</v>
      </c>
    </row>
    <row r="708" spans="1:10">
      <c r="A708" s="65">
        <v>3535</v>
      </c>
      <c r="B708" s="174">
        <v>0.08</v>
      </c>
      <c r="C708" s="183">
        <v>0</v>
      </c>
      <c r="D708" s="176">
        <v>87500000</v>
      </c>
      <c r="E708" s="26">
        <f>VLOOKUP(3535,季財報!$A:$H,8,0)</f>
        <v>0</v>
      </c>
      <c r="F708" s="183">
        <v>1.4014250000000004</v>
      </c>
      <c r="G708" s="176">
        <v>833000000</v>
      </c>
      <c r="H708" s="176">
        <v>986132000</v>
      </c>
      <c r="I708" s="174">
        <v>0.84471450069564724</v>
      </c>
      <c r="J708" s="176">
        <v>0</v>
      </c>
    </row>
    <row r="709" spans="1:10">
      <c r="A709" s="65">
        <v>3536</v>
      </c>
      <c r="B709" s="174">
        <v>-0.04</v>
      </c>
      <c r="C709" s="183">
        <v>1</v>
      </c>
      <c r="D709" s="176">
        <v>100000000</v>
      </c>
      <c r="E709" s="26">
        <f>VLOOKUP(3536,季財報!$A:$H,8,0)</f>
        <v>0</v>
      </c>
      <c r="F709" s="183">
        <v>-2.2283333333333332E-2</v>
      </c>
      <c r="G709" s="176">
        <v>655000000</v>
      </c>
      <c r="H709" s="176">
        <v>1211603000</v>
      </c>
      <c r="I709" s="174">
        <v>0.54060612263257846</v>
      </c>
      <c r="J709" s="176">
        <v>0</v>
      </c>
    </row>
    <row r="710" spans="1:10">
      <c r="A710" s="65">
        <v>3537</v>
      </c>
      <c r="B710" s="174">
        <v>0.83</v>
      </c>
      <c r="C710" s="183">
        <v>0.54</v>
      </c>
      <c r="D710" s="176">
        <v>48192771.084337354</v>
      </c>
      <c r="E710" s="26">
        <f>VLOOKUP(3537,季財報!$A:$H,8,0)</f>
        <v>0</v>
      </c>
      <c r="F710" s="183">
        <v>1.0508333333333333E-2</v>
      </c>
      <c r="G710" s="176">
        <v>980722891.56626523</v>
      </c>
      <c r="H710" s="176">
        <v>1971380000</v>
      </c>
      <c r="I710" s="174">
        <v>0.49748039016641399</v>
      </c>
      <c r="J710" s="176">
        <v>11.350959393128068</v>
      </c>
    </row>
    <row r="711" spans="1:10">
      <c r="A711" s="65">
        <v>3540</v>
      </c>
      <c r="B711" s="174">
        <v>0.25</v>
      </c>
      <c r="C711" s="183">
        <v>0.36842105263157893</v>
      </c>
      <c r="D711" s="176">
        <v>64000000</v>
      </c>
      <c r="E711" s="26">
        <f>VLOOKUP(3540,季財報!$A:$H,8,0)</f>
        <v>0</v>
      </c>
      <c r="F711" s="183">
        <v>2.756666666666667E-2</v>
      </c>
      <c r="G711" s="176">
        <v>800000000</v>
      </c>
      <c r="H711" s="176">
        <v>2599195000</v>
      </c>
      <c r="I711" s="174">
        <v>0.30778760346953576</v>
      </c>
      <c r="J711" s="176">
        <v>33.928571428571431</v>
      </c>
    </row>
    <row r="712" spans="1:10">
      <c r="A712" s="65">
        <v>3541</v>
      </c>
      <c r="B712" s="174">
        <v>1.1100000000000001</v>
      </c>
      <c r="C712" s="183">
        <v>0.72839506172839508</v>
      </c>
      <c r="D712" s="176">
        <v>44144144.14414414</v>
      </c>
      <c r="E712" s="26">
        <f>VLOOKUP(3541,季財報!$A:$H,8,0)</f>
        <v>0</v>
      </c>
      <c r="F712" s="183">
        <v>4.2166666666666611E-3</v>
      </c>
      <c r="G712" s="176">
        <v>3222522522.5225224</v>
      </c>
      <c r="H712" s="176">
        <v>1388924000</v>
      </c>
      <c r="I712" s="174">
        <v>2.3201575626330326</v>
      </c>
      <c r="J712" s="176">
        <v>22.572148419606044</v>
      </c>
    </row>
    <row r="713" spans="1:10">
      <c r="A713" s="65">
        <v>3545</v>
      </c>
      <c r="B713" s="174">
        <v>0.49</v>
      </c>
      <c r="C713" s="183">
        <v>3.8022813688212928E-3</v>
      </c>
      <c r="D713" s="176">
        <v>408163265.30612248</v>
      </c>
      <c r="E713" s="26">
        <f>VLOOKUP(3545,季財報!$A:$H,8,0)</f>
        <v>0</v>
      </c>
      <c r="F713" s="183">
        <v>0.15992500000000001</v>
      </c>
      <c r="G713" s="176">
        <v>12102040816.32653</v>
      </c>
      <c r="H713" s="176">
        <v>10809142000</v>
      </c>
      <c r="I713" s="174">
        <v>1.1196116043555104</v>
      </c>
      <c r="J713" s="176">
        <v>50</v>
      </c>
    </row>
    <row r="714" spans="1:10">
      <c r="A714" s="65">
        <v>3546</v>
      </c>
      <c r="B714" s="174">
        <v>0.28000000000000003</v>
      </c>
      <c r="C714" s="183">
        <v>1</v>
      </c>
      <c r="D714" s="176">
        <v>32142857.142857138</v>
      </c>
      <c r="E714" s="26">
        <f>VLOOKUP(3546,季財報!$A:$H,8,0)</f>
        <v>0</v>
      </c>
      <c r="F714" s="183">
        <v>2.2958333333333331E-2</v>
      </c>
      <c r="G714" s="176">
        <v>1002857142.8571427</v>
      </c>
      <c r="H714" s="176">
        <v>653250000</v>
      </c>
      <c r="I714" s="174">
        <v>1.5351812366737738</v>
      </c>
      <c r="J714" s="176">
        <v>27.857142857142854</v>
      </c>
    </row>
    <row r="715" spans="1:10">
      <c r="A715" s="65">
        <v>3548</v>
      </c>
      <c r="B715" s="174">
        <v>2.27</v>
      </c>
      <c r="C715" s="183">
        <v>0.43965517241379309</v>
      </c>
      <c r="D715" s="176">
        <v>50660792.951541848</v>
      </c>
      <c r="E715" s="26">
        <f>VLOOKUP(3548,季財報!$A:$H,8,0)</f>
        <v>0</v>
      </c>
      <c r="F715" s="183">
        <v>2.2516666666666671E-2</v>
      </c>
      <c r="G715" s="176">
        <v>1920044052.863436</v>
      </c>
      <c r="H715" s="176">
        <v>3706086000</v>
      </c>
      <c r="I715" s="174">
        <v>0.5180786557201954</v>
      </c>
      <c r="J715" s="176">
        <v>9.4938239613025814</v>
      </c>
    </row>
    <row r="716" spans="1:10">
      <c r="A716" s="65">
        <v>3550</v>
      </c>
      <c r="B716" s="174">
        <v>0.48</v>
      </c>
      <c r="C716" s="183">
        <v>0.47540983606557374</v>
      </c>
      <c r="D716" s="176">
        <v>85416666.666666672</v>
      </c>
      <c r="E716" s="26">
        <f>VLOOKUP(3550,季財報!$A:$H,8,0)</f>
        <v>0</v>
      </c>
      <c r="F716" s="183">
        <v>5.1266666666666662E-2</v>
      </c>
      <c r="G716" s="176">
        <v>1054895833.3333334</v>
      </c>
      <c r="H716" s="176">
        <v>3635299000</v>
      </c>
      <c r="I716" s="174">
        <v>0.29018131200028757</v>
      </c>
      <c r="J716" s="176">
        <v>13.529992816091955</v>
      </c>
    </row>
    <row r="717" spans="1:10">
      <c r="A717" s="65">
        <v>3551</v>
      </c>
      <c r="B717" s="174">
        <v>1.1000000000000001</v>
      </c>
      <c r="C717" s="183">
        <v>0.86178861788617889</v>
      </c>
      <c r="D717" s="176">
        <v>57272727.272727266</v>
      </c>
      <c r="E717" s="26">
        <f>VLOOKUP(3551,季財報!$A:$H,8,0)</f>
        <v>0</v>
      </c>
      <c r="F717" s="183">
        <v>-1.6408333333333334E-2</v>
      </c>
      <c r="G717" s="176">
        <v>1970181818.1818178</v>
      </c>
      <c r="H717" s="176">
        <v>1400574000</v>
      </c>
      <c r="I717" s="174">
        <v>1.4066959819201397</v>
      </c>
      <c r="J717" s="176">
        <v>9.0720411663807869</v>
      </c>
    </row>
    <row r="718" spans="1:10">
      <c r="A718" s="65">
        <v>3552</v>
      </c>
      <c r="B718" s="174">
        <v>2.65</v>
      </c>
      <c r="C718" s="183">
        <v>0.92346938775510201</v>
      </c>
      <c r="D718" s="176">
        <v>84150943.396226421</v>
      </c>
      <c r="E718" s="26">
        <f>VLOOKUP(3552,季財報!$A:$H,8,0)</f>
        <v>0</v>
      </c>
      <c r="F718" s="183">
        <v>4.775833333333334E-2</v>
      </c>
      <c r="G718" s="176">
        <v>23983018867.92453</v>
      </c>
      <c r="H718" s="176">
        <v>6366961000</v>
      </c>
      <c r="I718" s="174">
        <v>3.7667921741509849</v>
      </c>
      <c r="J718" s="176">
        <v>29.114979672677997</v>
      </c>
    </row>
    <row r="719" spans="1:10">
      <c r="A719" s="65">
        <v>3553</v>
      </c>
      <c r="B719" s="174">
        <v>-0.08</v>
      </c>
      <c r="C719" s="183">
        <v>1</v>
      </c>
      <c r="D719" s="176">
        <v>62500000</v>
      </c>
      <c r="E719" s="26">
        <f>VLOOKUP(3553,季財報!$A:$H,8,0)</f>
        <v>0</v>
      </c>
      <c r="F719" s="183">
        <v>5.0000000000000044E-4</v>
      </c>
      <c r="G719" s="176">
        <v>856250000</v>
      </c>
      <c r="H719" s="176">
        <v>2596749000</v>
      </c>
      <c r="I719" s="174">
        <v>0.32973922392961352</v>
      </c>
      <c r="J719" s="176">
        <v>0</v>
      </c>
    </row>
    <row r="720" spans="1:10">
      <c r="A720" s="65">
        <v>3555</v>
      </c>
      <c r="B720" s="174">
        <v>-3.62</v>
      </c>
      <c r="C720" s="183">
        <v>0.96899224806201545</v>
      </c>
      <c r="D720" s="176">
        <v>20165745.856353592</v>
      </c>
      <c r="E720" s="26">
        <f>VLOOKUP(3555,季財報!$A:$H,8,0)</f>
        <v>0</v>
      </c>
      <c r="F720" s="183">
        <v>0.4963833333333334</v>
      </c>
      <c r="G720" s="176">
        <v>175643646.40883979</v>
      </c>
      <c r="H720" s="176">
        <v>328053000</v>
      </c>
      <c r="I720" s="174">
        <v>0.53541240716847516</v>
      </c>
      <c r="J720" s="176">
        <v>0</v>
      </c>
    </row>
    <row r="721" spans="1:11">
      <c r="A721" s="65">
        <v>3556</v>
      </c>
      <c r="B721" s="174">
        <v>0.88</v>
      </c>
      <c r="C721" s="183">
        <v>0.88709677419354838</v>
      </c>
      <c r="D721" s="176">
        <v>54545454.545454547</v>
      </c>
      <c r="E721" s="26">
        <f>VLOOKUP(3556,季財報!$A:$H,8,0)</f>
        <v>0</v>
      </c>
      <c r="F721" s="183">
        <v>4.5808333333333333E-2</v>
      </c>
      <c r="G721" s="176">
        <v>3032727272.727273</v>
      </c>
      <c r="H721" s="176">
        <v>976536000</v>
      </c>
      <c r="I721" s="174">
        <v>3.1055970007529399</v>
      </c>
      <c r="J721" s="176">
        <v>17.805785123966942</v>
      </c>
    </row>
    <row r="722" spans="1:11">
      <c r="A722" s="65">
        <v>3557</v>
      </c>
      <c r="B722" s="174">
        <v>-0.1</v>
      </c>
      <c r="C722" s="183">
        <v>1</v>
      </c>
      <c r="D722" s="176">
        <v>110000000</v>
      </c>
      <c r="E722" s="26">
        <f>VLOOKUP(3557,季財報!$A:$H,8,0)</f>
        <v>0</v>
      </c>
      <c r="F722" s="183">
        <v>-1.206666666666667E-2</v>
      </c>
      <c r="G722" s="176">
        <v>456500000.00000006</v>
      </c>
      <c r="H722" s="176">
        <v>766493000</v>
      </c>
      <c r="I722" s="174">
        <v>0.59556969209112154</v>
      </c>
      <c r="J722" s="176">
        <v>0</v>
      </c>
    </row>
    <row r="723" spans="1:11">
      <c r="A723" s="65">
        <v>3558</v>
      </c>
      <c r="B723" s="174">
        <v>5.14</v>
      </c>
      <c r="C723" s="183">
        <v>0.7321428571428571</v>
      </c>
      <c r="D723" s="176">
        <v>49027237.354085609</v>
      </c>
      <c r="E723" s="26">
        <f>VLOOKUP(3558,季財報!$A:$H,8,0)</f>
        <v>0</v>
      </c>
      <c r="F723" s="183">
        <v>2.0858333333333329E-2</v>
      </c>
      <c r="G723" s="176">
        <v>12281322957.198444</v>
      </c>
      <c r="H723" s="176">
        <v>7591896000</v>
      </c>
      <c r="I723" s="174">
        <v>1.6176885138045154</v>
      </c>
      <c r="J723" s="176">
        <v>16.641359020594098</v>
      </c>
    </row>
    <row r="724" spans="1:11">
      <c r="A724" s="65">
        <v>3559</v>
      </c>
      <c r="B724" s="174">
        <v>0.65</v>
      </c>
      <c r="C724" s="183">
        <v>0.93877551020408168</v>
      </c>
      <c r="D724" s="176">
        <v>120000000</v>
      </c>
      <c r="E724" s="26">
        <f>VLOOKUP(3559,季財報!$A:$H,8,0)</f>
        <v>0</v>
      </c>
      <c r="F724" s="183">
        <v>3.0833333333333325E-3</v>
      </c>
      <c r="G724" s="176">
        <v>2622000000</v>
      </c>
      <c r="H724" s="176">
        <v>1523547000</v>
      </c>
      <c r="I724" s="174">
        <v>1.7209839932735911</v>
      </c>
      <c r="J724" s="176">
        <v>8.9519230769230766</v>
      </c>
    </row>
    <row r="725" spans="1:11">
      <c r="A725" s="65">
        <v>3561</v>
      </c>
      <c r="B725" s="174">
        <v>0.06</v>
      </c>
      <c r="C725" s="183">
        <v>1</v>
      </c>
      <c r="D725" s="176">
        <v>383333333.33333337</v>
      </c>
      <c r="E725" s="26">
        <f>VLOOKUP(3561,季財報!$A:$H,8,0)</f>
        <v>0</v>
      </c>
      <c r="F725" s="183">
        <v>6.2425000000000008E-2</v>
      </c>
      <c r="G725" s="176">
        <v>7130000000.000001</v>
      </c>
      <c r="H725" s="176">
        <v>9880811000</v>
      </c>
      <c r="I725" s="174">
        <v>0.72160068642138797</v>
      </c>
      <c r="J725" s="176">
        <v>50</v>
      </c>
    </row>
    <row r="726" spans="1:11">
      <c r="A726" s="65">
        <v>3562</v>
      </c>
      <c r="B726" s="174">
        <v>-0.11</v>
      </c>
      <c r="C726" s="183">
        <v>0</v>
      </c>
      <c r="D726" s="176">
        <v>54545454.545454547</v>
      </c>
      <c r="E726" s="26">
        <f>VLOOKUP(3562,季財報!$A:$H,8,0)</f>
        <v>0</v>
      </c>
      <c r="F726" s="183">
        <v>8.8458333333333347E-2</v>
      </c>
      <c r="G726" s="176">
        <v>204000000.00000003</v>
      </c>
      <c r="H726" s="176">
        <v>1009620000</v>
      </c>
      <c r="I726" s="174">
        <v>0.20205621917156952</v>
      </c>
      <c r="J726" s="176">
        <v>0</v>
      </c>
    </row>
    <row r="727" spans="1:11">
      <c r="A727" s="65">
        <v>3563</v>
      </c>
      <c r="B727" s="174">
        <v>1.51</v>
      </c>
      <c r="C727" s="183">
        <v>0.83653846153846156</v>
      </c>
      <c r="D727" s="176">
        <v>42384105.960264899</v>
      </c>
      <c r="E727" s="26">
        <f>VLOOKUP(3563,季財報!$A:$H,8,0)</f>
        <v>0</v>
      </c>
      <c r="F727" s="183">
        <v>2.1000000000000012E-3</v>
      </c>
      <c r="G727" s="176">
        <v>1843708609.271523</v>
      </c>
      <c r="H727" s="176">
        <v>611442000</v>
      </c>
      <c r="I727" s="174">
        <v>3.015345051977985</v>
      </c>
      <c r="J727" s="176">
        <v>8.6092715231788084</v>
      </c>
    </row>
    <row r="728" spans="1:11">
      <c r="A728" s="65">
        <v>3564</v>
      </c>
      <c r="B728" s="174">
        <v>1.9</v>
      </c>
      <c r="C728" s="183">
        <v>0.82222222222222219</v>
      </c>
      <c r="D728" s="176">
        <v>20526315.789473686</v>
      </c>
      <c r="E728" s="26">
        <f>VLOOKUP(3564,季財報!$A:$H,8,0)</f>
        <v>0</v>
      </c>
      <c r="F728" s="183">
        <v>7.5575000000000003E-2</v>
      </c>
      <c r="G728" s="176">
        <v>1408105263.1578948</v>
      </c>
      <c r="H728" s="176">
        <v>1390433000</v>
      </c>
      <c r="I728" s="174">
        <v>1.0127098991162429</v>
      </c>
      <c r="J728" s="176">
        <v>10.977951635846372</v>
      </c>
      <c r="K728" s="32"/>
    </row>
    <row r="729" spans="1:11">
      <c r="A729" s="65">
        <v>3567</v>
      </c>
      <c r="B729" s="174">
        <v>0.38</v>
      </c>
      <c r="C729" s="183">
        <v>0.90909090909090906</v>
      </c>
      <c r="D729" s="176">
        <v>36842105.263157897</v>
      </c>
      <c r="E729" s="26">
        <f>VLOOKUP(3567,季財報!$A:$H,8,0)</f>
        <v>0</v>
      </c>
      <c r="F729" s="183">
        <v>-3.891666666666667E-3</v>
      </c>
      <c r="G729" s="176">
        <v>443947368.42105269</v>
      </c>
      <c r="H729" s="176">
        <v>331412000</v>
      </c>
      <c r="I729" s="174">
        <v>1.3395633484033551</v>
      </c>
      <c r="J729" s="176">
        <v>8.7203947368421062</v>
      </c>
    </row>
    <row r="730" spans="1:11">
      <c r="A730" s="65">
        <v>3570</v>
      </c>
      <c r="B730" s="174">
        <v>1.1100000000000001</v>
      </c>
      <c r="C730" s="183">
        <v>1</v>
      </c>
      <c r="D730" s="176">
        <v>17117117.117117114</v>
      </c>
      <c r="E730" s="26">
        <f>VLOOKUP(3570,季財報!$A:$H,8,0)</f>
        <v>0</v>
      </c>
      <c r="F730" s="183">
        <v>5.5841666666666699E-2</v>
      </c>
      <c r="G730" s="176">
        <v>1283783783.7837837</v>
      </c>
      <c r="H730" s="176">
        <v>991777000</v>
      </c>
      <c r="I730" s="174">
        <v>1.2944278641103633</v>
      </c>
      <c r="J730" s="176">
        <v>16.891891891891891</v>
      </c>
    </row>
    <row r="731" spans="1:11">
      <c r="A731" s="65">
        <v>3573</v>
      </c>
      <c r="B731" s="174">
        <v>0.39</v>
      </c>
      <c r="C731" s="183">
        <v>1</v>
      </c>
      <c r="D731" s="176">
        <v>125641025.64102563</v>
      </c>
      <c r="E731" s="26">
        <f>VLOOKUP(3573,季財報!$A:$H,8,0)</f>
        <v>0</v>
      </c>
      <c r="F731" s="183">
        <v>2.7325000000000012E-2</v>
      </c>
      <c r="G731" s="176">
        <v>2248974358.9743586</v>
      </c>
      <c r="H731" s="176">
        <v>3278730000</v>
      </c>
      <c r="I731" s="174">
        <v>0.68592850249162285</v>
      </c>
      <c r="J731" s="176">
        <v>11.474358974358973</v>
      </c>
    </row>
    <row r="732" spans="1:11">
      <c r="A732" s="65">
        <v>3576</v>
      </c>
      <c r="B732" s="174">
        <v>-0.42</v>
      </c>
      <c r="C732" s="183">
        <v>0.88475177304964536</v>
      </c>
      <c r="D732" s="176">
        <v>859523809.52380955</v>
      </c>
      <c r="E732" s="26">
        <f>VLOOKUP(3576,季財報!$A:$H,8,0)</f>
        <v>0</v>
      </c>
      <c r="F732" s="183">
        <v>3.7183333333333325E-2</v>
      </c>
      <c r="G732" s="176">
        <v>18823571428.571426</v>
      </c>
      <c r="H732" s="176">
        <v>22586326000</v>
      </c>
      <c r="I732" s="174">
        <v>0.83340563793205791</v>
      </c>
      <c r="J732" s="176">
        <v>0</v>
      </c>
    </row>
    <row r="733" spans="1:11">
      <c r="A733" s="65">
        <v>3577</v>
      </c>
      <c r="B733" s="174">
        <v>0.54</v>
      </c>
      <c r="C733" s="183">
        <v>0.95121951219512191</v>
      </c>
      <c r="D733" s="176">
        <v>42592592.59259259</v>
      </c>
      <c r="E733" s="26">
        <f>VLOOKUP(3577,季財報!$A:$H,8,0)</f>
        <v>0</v>
      </c>
      <c r="F733" s="183">
        <v>2.7883333333333329E-2</v>
      </c>
      <c r="G733" s="176">
        <v>1341666666.6666665</v>
      </c>
      <c r="H733" s="176">
        <v>725415000</v>
      </c>
      <c r="I733" s="174">
        <v>1.8495160241608823</v>
      </c>
      <c r="J733" s="176">
        <v>15.331196581196581</v>
      </c>
    </row>
    <row r="734" spans="1:11">
      <c r="A734" s="65">
        <v>3579</v>
      </c>
      <c r="B734" s="174">
        <v>-1.61</v>
      </c>
      <c r="C734" s="183">
        <v>0.12664907651715041</v>
      </c>
      <c r="D734" s="176">
        <v>115527950.310559</v>
      </c>
      <c r="E734" s="26">
        <f>VLOOKUP(3579,季財報!$A:$H,8,0)</f>
        <v>0</v>
      </c>
      <c r="F734" s="183">
        <v>-7.6250000000000007E-3</v>
      </c>
      <c r="G734" s="176">
        <v>1403664596.2732921</v>
      </c>
      <c r="H734" s="176">
        <v>15715217000</v>
      </c>
      <c r="I734" s="174">
        <v>8.9318817314027035E-2</v>
      </c>
      <c r="J734" s="176">
        <v>0</v>
      </c>
    </row>
    <row r="735" spans="1:11">
      <c r="A735" s="65">
        <v>3580</v>
      </c>
      <c r="B735" s="174">
        <v>-0.19</v>
      </c>
      <c r="C735" s="183">
        <v>0.58536585365853655</v>
      </c>
      <c r="D735" s="176">
        <v>52631578.947368421</v>
      </c>
      <c r="E735" s="26">
        <f>VLOOKUP(3580,季財報!$A:$H,8,0)</f>
        <v>0</v>
      </c>
      <c r="F735" s="183">
        <v>0.11265833333333335</v>
      </c>
      <c r="G735" s="176">
        <v>317368421.05263162</v>
      </c>
      <c r="H735" s="176">
        <v>550804000</v>
      </c>
      <c r="I735" s="174">
        <v>0.57619120604177099</v>
      </c>
      <c r="J735" s="176">
        <v>0</v>
      </c>
    </row>
    <row r="736" spans="1:11">
      <c r="A736" s="65">
        <v>3581</v>
      </c>
      <c r="B736" s="179">
        <v>0.22</v>
      </c>
      <c r="C736" s="183">
        <v>1</v>
      </c>
      <c r="D736" s="180">
        <v>50000000</v>
      </c>
      <c r="E736" s="26">
        <f>VLOOKUP(3581,季財報!$A:$H,8,0)</f>
        <v>0</v>
      </c>
      <c r="F736" s="183">
        <v>5.5308333333333341E-2</v>
      </c>
      <c r="G736" s="180">
        <v>730000000</v>
      </c>
      <c r="H736" s="180">
        <v>873782000</v>
      </c>
      <c r="I736" s="179">
        <v>0.83544865881879005</v>
      </c>
      <c r="J736" s="180">
        <v>16.59090909090909</v>
      </c>
    </row>
    <row r="737" spans="1:11">
      <c r="A737" s="65">
        <v>3583</v>
      </c>
      <c r="B737" s="174">
        <v>0.05</v>
      </c>
      <c r="C737" s="183">
        <v>0.33333333333333331</v>
      </c>
      <c r="D737" s="176">
        <v>80000000</v>
      </c>
      <c r="E737" s="26">
        <f>VLOOKUP(3583,季財報!$A:$H,8,0)</f>
        <v>0</v>
      </c>
      <c r="F737" s="183">
        <v>8.4325000000000025E-2</v>
      </c>
      <c r="G737" s="176">
        <v>6320000000</v>
      </c>
      <c r="H737" s="176">
        <v>2961321000</v>
      </c>
      <c r="I737" s="174">
        <v>2.1341826840116287</v>
      </c>
      <c r="J737" s="176">
        <v>50</v>
      </c>
    </row>
    <row r="738" spans="1:11">
      <c r="A738" s="65">
        <v>3584</v>
      </c>
      <c r="B738" s="174">
        <v>-3.01</v>
      </c>
      <c r="C738" s="183">
        <v>0.8558786346396966</v>
      </c>
      <c r="D738" s="176">
        <v>140531561.46179402</v>
      </c>
      <c r="E738" s="26">
        <f>VLOOKUP(3584,季財報!$A:$H,8,0)</f>
        <v>0</v>
      </c>
      <c r="F738" s="183">
        <v>-5.7483333333333324E-2</v>
      </c>
      <c r="G738" s="176">
        <v>843189368.77076411</v>
      </c>
      <c r="H738" s="176">
        <v>5668836000</v>
      </c>
      <c r="I738" s="174">
        <v>0.14874118227635516</v>
      </c>
      <c r="J738" s="176">
        <v>0</v>
      </c>
    </row>
    <row r="739" spans="1:11">
      <c r="A739" s="65">
        <v>3587</v>
      </c>
      <c r="B739" s="174">
        <v>1.33</v>
      </c>
      <c r="C739" s="183">
        <v>0.93877551020408168</v>
      </c>
      <c r="D739" s="176">
        <v>45864661.654135339</v>
      </c>
      <c r="E739" s="26">
        <f>VLOOKUP(3587,季財報!$A:$H,8,0)</f>
        <v>0</v>
      </c>
      <c r="F739" s="183">
        <v>1.4466666666666671E-2</v>
      </c>
      <c r="G739" s="176">
        <v>2586766917.2932329</v>
      </c>
      <c r="H739" s="176">
        <v>1059203000</v>
      </c>
      <c r="I739" s="174">
        <v>2.442182393075957</v>
      </c>
      <c r="J739" s="176">
        <v>11.292906178489702</v>
      </c>
    </row>
    <row r="740" spans="1:11">
      <c r="A740" s="65">
        <v>3588</v>
      </c>
      <c r="B740" s="174">
        <v>0.77</v>
      </c>
      <c r="C740" s="183">
        <v>0.63157894736842102</v>
      </c>
      <c r="D740" s="176">
        <v>45454545.454545453</v>
      </c>
      <c r="E740" s="26">
        <f>VLOOKUP(3588,季財報!$A:$H,8,0)</f>
        <v>0</v>
      </c>
      <c r="F740" s="183">
        <v>4.9666666666666652E-3</v>
      </c>
      <c r="G740" s="176">
        <v>1390909090.909091</v>
      </c>
      <c r="H740" s="176">
        <v>1030523000</v>
      </c>
      <c r="I740" s="174">
        <v>1.3497118365229024</v>
      </c>
      <c r="J740" s="176">
        <v>15.730519480519481</v>
      </c>
    </row>
    <row r="741" spans="1:11">
      <c r="A741" s="65">
        <v>3591</v>
      </c>
      <c r="B741" s="174">
        <v>0.01</v>
      </c>
      <c r="C741" s="183">
        <v>1</v>
      </c>
      <c r="D741" s="176">
        <v>200000000</v>
      </c>
      <c r="E741" s="26">
        <f>VLOOKUP(3591,季財報!$A:$H,8,0)</f>
        <v>0</v>
      </c>
      <c r="F741" s="183">
        <v>4.280833333333333E-2</v>
      </c>
      <c r="G741" s="176">
        <v>3500000000</v>
      </c>
      <c r="H741" s="176">
        <v>3351344000</v>
      </c>
      <c r="I741" s="174">
        <v>1.0443571295575744</v>
      </c>
      <c r="J741" s="176">
        <v>50</v>
      </c>
    </row>
    <row r="742" spans="1:11">
      <c r="A742" s="65">
        <v>3593</v>
      </c>
      <c r="B742" s="174">
        <v>-0.18</v>
      </c>
      <c r="C742" s="183">
        <v>1</v>
      </c>
      <c r="D742" s="176">
        <v>111111111.11111112</v>
      </c>
      <c r="E742" s="26">
        <f>VLOOKUP(3593,季財報!$A:$H,8,0)</f>
        <v>0</v>
      </c>
      <c r="F742" s="183">
        <v>0.43441666666666667</v>
      </c>
      <c r="G742" s="176">
        <v>863333333.33333337</v>
      </c>
      <c r="H742" s="176">
        <v>586237000</v>
      </c>
      <c r="I742" s="174">
        <v>1.472669472130441</v>
      </c>
      <c r="J742" s="176">
        <v>0</v>
      </c>
    </row>
    <row r="743" spans="1:11">
      <c r="A743" s="65">
        <v>3594</v>
      </c>
      <c r="B743" s="174">
        <v>0.15</v>
      </c>
      <c r="C743" s="183">
        <v>0</v>
      </c>
      <c r="D743" s="176">
        <v>53333333.333333336</v>
      </c>
      <c r="E743" s="26">
        <f>VLOOKUP(3594,季財報!$A:$H,8,0)</f>
        <v>0</v>
      </c>
      <c r="F743" s="183">
        <v>0.12720000000000001</v>
      </c>
      <c r="G743" s="176">
        <v>1570666666.6666667</v>
      </c>
      <c r="H743" s="176">
        <v>1364721000</v>
      </c>
      <c r="I743" s="174">
        <v>1.150906790960692</v>
      </c>
      <c r="J743" s="176">
        <v>0</v>
      </c>
    </row>
    <row r="744" spans="1:11">
      <c r="A744" s="65">
        <v>3596</v>
      </c>
      <c r="B744" s="174">
        <v>1.42</v>
      </c>
      <c r="C744" s="183">
        <v>0.25776397515527949</v>
      </c>
      <c r="D744" s="176">
        <v>188732394.3661972</v>
      </c>
      <c r="E744" s="26">
        <f>VLOOKUP(3596,季財報!$A:$H,8,0)</f>
        <v>0</v>
      </c>
      <c r="F744" s="183">
        <v>1.7491666666666669E-2</v>
      </c>
      <c r="G744" s="176">
        <v>6030000000</v>
      </c>
      <c r="H744" s="176">
        <v>19508219000</v>
      </c>
      <c r="I744" s="174">
        <v>0.30910048733818296</v>
      </c>
      <c r="J744" s="176">
        <v>21.822289156626507</v>
      </c>
      <c r="K744" s="32"/>
    </row>
    <row r="745" spans="1:11">
      <c r="A745" s="65">
        <v>3598</v>
      </c>
      <c r="B745" s="174">
        <v>1.4</v>
      </c>
      <c r="C745" s="183">
        <v>0.77464788732394363</v>
      </c>
      <c r="D745" s="176">
        <v>72142857.142857149</v>
      </c>
      <c r="E745" s="26">
        <f>VLOOKUP(3598,季財報!$A:$H,8,0)</f>
        <v>0</v>
      </c>
      <c r="F745" s="183">
        <v>4.2666666666666591E-3</v>
      </c>
      <c r="G745" s="176">
        <v>3556642857.1428571</v>
      </c>
      <c r="H745" s="176">
        <v>8487975000</v>
      </c>
      <c r="I745" s="174">
        <v>0.41902136341622792</v>
      </c>
      <c r="J745" s="176">
        <v>11.364610389610391</v>
      </c>
    </row>
    <row r="746" spans="1:11">
      <c r="A746" s="65">
        <v>3605</v>
      </c>
      <c r="B746" s="174">
        <v>0.76</v>
      </c>
      <c r="C746" s="183">
        <v>0</v>
      </c>
      <c r="D746" s="176">
        <v>121052631.57894737</v>
      </c>
      <c r="E746" s="26">
        <f>VLOOKUP(3605,季財報!$A:$H,8,0)</f>
        <v>0</v>
      </c>
      <c r="F746" s="183">
        <v>4.186666666666667E-2</v>
      </c>
      <c r="G746" s="176">
        <v>3304736842.1052632</v>
      </c>
      <c r="H746" s="176">
        <v>3793591000</v>
      </c>
      <c r="I746" s="174">
        <v>0.87113683106725615</v>
      </c>
      <c r="J746" s="176">
        <v>0</v>
      </c>
    </row>
    <row r="747" spans="1:11">
      <c r="A747" s="65">
        <v>3607</v>
      </c>
      <c r="B747" s="174">
        <v>1.39</v>
      </c>
      <c r="C747" s="183">
        <v>0.86173633440514474</v>
      </c>
      <c r="D747" s="176">
        <v>123741007.19424461</v>
      </c>
      <c r="E747" s="26">
        <f>VLOOKUP(3607,季財報!$A:$H,8,0)</f>
        <v>0</v>
      </c>
      <c r="F747" s="183">
        <v>1.3725000000000001E-2</v>
      </c>
      <c r="G747" s="176">
        <v>6830503597.122303</v>
      </c>
      <c r="H747" s="176">
        <v>10530263000</v>
      </c>
      <c r="I747" s="174">
        <v>0.64865460597919566</v>
      </c>
      <c r="J747" s="176">
        <v>11.520992161494686</v>
      </c>
    </row>
    <row r="748" spans="1:11">
      <c r="A748" s="65">
        <v>3609</v>
      </c>
      <c r="B748" s="174">
        <v>-0.08</v>
      </c>
      <c r="C748" s="183">
        <v>1</v>
      </c>
      <c r="D748" s="176">
        <v>25000000</v>
      </c>
      <c r="E748" s="26">
        <f>VLOOKUP(3609,季財報!$A:$H,8,0)</f>
        <v>0</v>
      </c>
      <c r="F748" s="183">
        <v>1.3033333333333334E-2</v>
      </c>
      <c r="G748" s="176">
        <v>322500000</v>
      </c>
      <c r="H748" s="176">
        <v>809513000</v>
      </c>
      <c r="I748" s="174">
        <v>0.39838767258833396</v>
      </c>
      <c r="J748" s="176">
        <v>0</v>
      </c>
      <c r="K748" s="32"/>
    </row>
    <row r="749" spans="1:11">
      <c r="A749" s="65">
        <v>3611</v>
      </c>
      <c r="B749" s="174">
        <v>4.6100000000000003</v>
      </c>
      <c r="C749" s="183">
        <v>0.83236994219653182</v>
      </c>
      <c r="D749" s="176">
        <v>38177874.186550975</v>
      </c>
      <c r="E749" s="26">
        <f>VLOOKUP(3611,季財報!$A:$H,8,0)</f>
        <v>0</v>
      </c>
      <c r="F749" s="183">
        <v>4.0433333333333335E-2</v>
      </c>
      <c r="G749" s="176">
        <v>11987852494.577005</v>
      </c>
      <c r="H749" s="176">
        <v>2656594000</v>
      </c>
      <c r="I749" s="174">
        <v>4.5124894863788017</v>
      </c>
      <c r="J749" s="176">
        <v>20.457489756567846</v>
      </c>
    </row>
    <row r="750" spans="1:11">
      <c r="A750" s="65">
        <v>3615</v>
      </c>
      <c r="B750" s="174">
        <v>0.45</v>
      </c>
      <c r="C750" s="183">
        <v>0</v>
      </c>
      <c r="D750" s="176">
        <v>71111111.111111104</v>
      </c>
      <c r="E750" s="26">
        <f>VLOOKUP(3615,季財報!$A:$H,8,0)</f>
        <v>0</v>
      </c>
      <c r="F750" s="183">
        <v>-1.701666666666667E-2</v>
      </c>
      <c r="G750" s="176">
        <v>1336888888.8888888</v>
      </c>
      <c r="H750" s="176">
        <v>731359000</v>
      </c>
      <c r="I750" s="174">
        <v>1.827951647397364</v>
      </c>
      <c r="J750" s="176">
        <v>0</v>
      </c>
    </row>
    <row r="751" spans="1:11">
      <c r="A751" s="65">
        <v>3617</v>
      </c>
      <c r="B751" s="174">
        <v>3.66</v>
      </c>
      <c r="C751" s="183">
        <v>0.7220902612826603</v>
      </c>
      <c r="D751" s="176">
        <v>80874316.939890712</v>
      </c>
      <c r="E751" s="26">
        <f>VLOOKUP(3617,季財報!$A:$H,8,0)</f>
        <v>0</v>
      </c>
      <c r="F751" s="183">
        <v>3.7475000000000001E-2</v>
      </c>
      <c r="G751" s="176">
        <v>10028415300.546448</v>
      </c>
      <c r="H751" s="176">
        <v>6106651000</v>
      </c>
      <c r="I751" s="174">
        <v>1.6422119588210375</v>
      </c>
      <c r="J751" s="176">
        <v>11.729759850445788</v>
      </c>
    </row>
    <row r="752" spans="1:11">
      <c r="A752" s="65">
        <v>3622</v>
      </c>
      <c r="B752" s="174">
        <v>-1.32</v>
      </c>
      <c r="C752" s="183">
        <v>0.98102466793168885</v>
      </c>
      <c r="D752" s="176">
        <v>151515151.5151515</v>
      </c>
      <c r="E752" s="26">
        <f>VLOOKUP(3622,季財報!$A:$H,8,0)</f>
        <v>0</v>
      </c>
      <c r="F752" s="183">
        <v>2.8666666666666719E-3</v>
      </c>
      <c r="G752" s="176">
        <v>1727272727.2727273</v>
      </c>
      <c r="H752" s="176">
        <v>2703315000</v>
      </c>
      <c r="I752" s="174">
        <v>0.6389461558393037</v>
      </c>
      <c r="J752" s="176">
        <v>0</v>
      </c>
    </row>
    <row r="753" spans="1:10">
      <c r="A753" s="65">
        <v>3623</v>
      </c>
      <c r="B753" s="174">
        <v>0.87</v>
      </c>
      <c r="C753" s="183">
        <v>1</v>
      </c>
      <c r="D753" s="176">
        <v>58620689.655172415</v>
      </c>
      <c r="E753" s="26">
        <f>VLOOKUP(3623,季財報!$A:$H,8,0)</f>
        <v>0</v>
      </c>
      <c r="F753" s="183">
        <v>2.5916666666666727E-3</v>
      </c>
      <c r="G753" s="176">
        <v>2148448275.8620691</v>
      </c>
      <c r="H753" s="176">
        <v>999955000</v>
      </c>
      <c r="I753" s="174">
        <v>2.1485449603852866</v>
      </c>
      <c r="J753" s="176">
        <v>10.531609195402298</v>
      </c>
    </row>
    <row r="754" spans="1:10">
      <c r="A754" s="65">
        <v>3624</v>
      </c>
      <c r="B754" s="174">
        <v>0.7</v>
      </c>
      <c r="C754" s="183">
        <v>0.45299145299145299</v>
      </c>
      <c r="D754" s="176">
        <v>117142857.14285715</v>
      </c>
      <c r="E754" s="26">
        <f>VLOOKUP(3624,季財報!$A:$H,8,0)</f>
        <v>0</v>
      </c>
      <c r="F754" s="183">
        <v>2.9058333333333328E-2</v>
      </c>
      <c r="G754" s="176">
        <v>2887571428.5714288</v>
      </c>
      <c r="H754" s="176">
        <v>1533415000</v>
      </c>
      <c r="I754" s="174">
        <v>1.8830984623023961</v>
      </c>
      <c r="J754" s="176">
        <v>19.434299191374663</v>
      </c>
    </row>
    <row r="755" spans="1:10">
      <c r="A755" s="65">
        <v>3625</v>
      </c>
      <c r="B755" s="174">
        <v>7.0000000000000007E-2</v>
      </c>
      <c r="C755" s="183">
        <v>0</v>
      </c>
      <c r="D755" s="176">
        <v>57142857.142857134</v>
      </c>
      <c r="E755" s="26">
        <f>VLOOKUP(3625,季財報!$A:$H,8,0)</f>
        <v>0</v>
      </c>
      <c r="F755" s="183">
        <v>4.6116666666666674E-2</v>
      </c>
      <c r="G755" s="176">
        <v>552571428.57142854</v>
      </c>
      <c r="H755" s="176">
        <v>731810000</v>
      </c>
      <c r="I755" s="174">
        <v>0.75507499019066227</v>
      </c>
      <c r="J755" s="176">
        <v>0</v>
      </c>
    </row>
    <row r="756" spans="1:10">
      <c r="A756" s="65">
        <v>3628</v>
      </c>
      <c r="B756" s="174">
        <v>0.65</v>
      </c>
      <c r="C756" s="183">
        <v>0.66249999999999998</v>
      </c>
      <c r="D756" s="176">
        <v>44615384.615384616</v>
      </c>
      <c r="E756" s="26">
        <f>VLOOKUP(3628,季財報!$A:$H,8,0)</f>
        <v>0</v>
      </c>
      <c r="F756" s="183">
        <v>1.5208333333333338E-2</v>
      </c>
      <c r="G756" s="176">
        <v>2228538461.5384617</v>
      </c>
      <c r="H756" s="176">
        <v>2788756000</v>
      </c>
      <c r="I756" s="174">
        <v>0.79911561339122594</v>
      </c>
      <c r="J756" s="176">
        <v>28.998548621190135</v>
      </c>
    </row>
    <row r="757" spans="1:10">
      <c r="A757" s="65">
        <v>3629</v>
      </c>
      <c r="B757" s="174">
        <v>-1.38</v>
      </c>
      <c r="C757" s="183">
        <v>0.9375</v>
      </c>
      <c r="D757" s="176">
        <v>14492753.623188406</v>
      </c>
      <c r="E757" s="26">
        <f>VLOOKUP(3629,季財報!$A:$H,8,0)</f>
        <v>0</v>
      </c>
      <c r="F757" s="183">
        <v>7.8791666666666663E-2</v>
      </c>
      <c r="G757" s="176">
        <v>0</v>
      </c>
      <c r="H757" s="176">
        <v>104904000</v>
      </c>
      <c r="I757" s="174">
        <v>0</v>
      </c>
      <c r="J757" s="176">
        <v>0</v>
      </c>
    </row>
    <row r="758" spans="1:10">
      <c r="A758" s="65">
        <v>3630</v>
      </c>
      <c r="B758" s="174">
        <v>-1.52</v>
      </c>
      <c r="C758" s="183">
        <v>1</v>
      </c>
      <c r="D758" s="176">
        <v>100657894.73684211</v>
      </c>
      <c r="E758" s="26">
        <f>VLOOKUP(3630,季財報!$A:$H,8,0)</f>
        <v>0</v>
      </c>
      <c r="F758" s="183">
        <v>4.7199999999999992E-2</v>
      </c>
      <c r="G758" s="176">
        <v>1791710526.3157897</v>
      </c>
      <c r="H758" s="176">
        <v>951131000</v>
      </c>
      <c r="I758" s="174">
        <v>1.883768404474031</v>
      </c>
      <c r="J758" s="176">
        <v>0</v>
      </c>
    </row>
    <row r="759" spans="1:10">
      <c r="A759" s="65">
        <v>3631</v>
      </c>
      <c r="B759" s="174">
        <v>-0.69</v>
      </c>
      <c r="C759" s="183">
        <v>0.4157303370786517</v>
      </c>
      <c r="D759" s="176">
        <v>79710144.927536234</v>
      </c>
      <c r="E759" s="26">
        <f>VLOOKUP(3631,季財報!$A:$H,8,0)</f>
        <v>0</v>
      </c>
      <c r="F759" s="183">
        <v>-1.1191666666666669E-2</v>
      </c>
      <c r="G759" s="176">
        <v>1932971014.4927537</v>
      </c>
      <c r="H759" s="176">
        <v>693219000</v>
      </c>
      <c r="I759" s="174">
        <v>2.7883987808942825</v>
      </c>
      <c r="J759" s="176">
        <v>0</v>
      </c>
    </row>
    <row r="760" spans="1:10">
      <c r="A760" s="65">
        <v>3632</v>
      </c>
      <c r="B760" s="174">
        <v>1.05</v>
      </c>
      <c r="C760" s="183">
        <v>0.92307692307692313</v>
      </c>
      <c r="D760" s="176">
        <v>30476190.476190474</v>
      </c>
      <c r="E760" s="26">
        <f>VLOOKUP(3632,季財報!$A:$H,8,0)</f>
        <v>0</v>
      </c>
      <c r="F760" s="183">
        <v>4.370000000000001E-2</v>
      </c>
      <c r="G760" s="176">
        <v>816761904.76190472</v>
      </c>
      <c r="H760" s="176">
        <v>1440309000</v>
      </c>
      <c r="I760" s="174">
        <v>0.56707408254888692</v>
      </c>
      <c r="J760" s="176">
        <v>6.9126984126984121</v>
      </c>
    </row>
    <row r="761" spans="1:10">
      <c r="A761" s="65">
        <v>3642</v>
      </c>
      <c r="B761" s="174">
        <v>-5.33</v>
      </c>
      <c r="C761" s="183">
        <v>1</v>
      </c>
      <c r="D761" s="176">
        <v>29831144.465290807</v>
      </c>
      <c r="E761" s="26">
        <f>VLOOKUP(3642,季財報!$A:$H,8,0)</f>
        <v>0</v>
      </c>
      <c r="F761" s="183">
        <v>1.3683333333333339E-2</v>
      </c>
      <c r="G761" s="176">
        <v>695065666.04127586</v>
      </c>
      <c r="H761" s="176">
        <v>799238000</v>
      </c>
      <c r="I761" s="174">
        <v>0.86966043411508942</v>
      </c>
      <c r="J761" s="176">
        <v>0</v>
      </c>
    </row>
    <row r="762" spans="1:10">
      <c r="A762" s="65">
        <v>3645</v>
      </c>
      <c r="B762" s="174">
        <v>0.51</v>
      </c>
      <c r="C762" s="183">
        <v>0.989247311827957</v>
      </c>
      <c r="D762" s="176">
        <v>117647058.82352941</v>
      </c>
      <c r="E762" s="26">
        <f>VLOOKUP(3645,季財報!$A:$H,8,0)</f>
        <v>0</v>
      </c>
      <c r="F762" s="183">
        <v>1.3908333333333335E-2</v>
      </c>
      <c r="G762" s="176">
        <v>3417647058.8235292</v>
      </c>
      <c r="H762" s="176">
        <v>1528120000</v>
      </c>
      <c r="I762" s="174">
        <v>2.2365043706145653</v>
      </c>
      <c r="J762" s="176">
        <v>14.394980818414323</v>
      </c>
    </row>
    <row r="763" spans="1:10">
      <c r="A763" s="65">
        <v>3646</v>
      </c>
      <c r="B763" s="174">
        <v>0.56999999999999995</v>
      </c>
      <c r="C763" s="183">
        <v>0</v>
      </c>
      <c r="D763" s="176">
        <v>38596491.228070177</v>
      </c>
      <c r="E763" s="26">
        <f>VLOOKUP(3646,季財報!$A:$H,8,0)</f>
        <v>0</v>
      </c>
      <c r="F763" s="183">
        <v>5.4641666666666665E-2</v>
      </c>
      <c r="G763" s="176">
        <v>501754385.9649123</v>
      </c>
      <c r="H763" s="176">
        <v>586678000</v>
      </c>
      <c r="I763" s="174">
        <v>0.85524663608472162</v>
      </c>
      <c r="J763" s="176">
        <v>0</v>
      </c>
    </row>
    <row r="764" spans="1:10">
      <c r="A764" s="65">
        <v>3652</v>
      </c>
      <c r="B764" s="174">
        <v>0.03</v>
      </c>
      <c r="C764" s="183">
        <v>0.66666666666666663</v>
      </c>
      <c r="D764" s="176">
        <v>66666666.666666672</v>
      </c>
      <c r="E764" s="26">
        <f>VLOOKUP(3652,季財報!$A:$H,8,0)</f>
        <v>0</v>
      </c>
      <c r="F764" s="183">
        <v>4.246666666666666E-2</v>
      </c>
      <c r="G764" s="176">
        <v>1166666666.6666667</v>
      </c>
      <c r="H764" s="176">
        <v>2006525000</v>
      </c>
      <c r="I764" s="174">
        <v>0.58143639708783434</v>
      </c>
      <c r="J764" s="176">
        <v>50</v>
      </c>
    </row>
    <row r="765" spans="1:10">
      <c r="A765" s="65">
        <v>3653</v>
      </c>
      <c r="B765" s="174">
        <v>1.1100000000000001</v>
      </c>
      <c r="C765" s="183">
        <v>0.44318181818181818</v>
      </c>
      <c r="D765" s="176">
        <v>106306306.3063063</v>
      </c>
      <c r="E765" s="26">
        <f>VLOOKUP(3653,季財報!$A:$H,8,0)</f>
        <v>0</v>
      </c>
      <c r="F765" s="183">
        <v>-6.7333333333333342E-3</v>
      </c>
      <c r="G765" s="176">
        <v>4629639639.6396389</v>
      </c>
      <c r="H765" s="176">
        <v>3357754000</v>
      </c>
      <c r="I765" s="174">
        <v>1.378790596225822</v>
      </c>
      <c r="J765" s="176">
        <v>22.132132132132131</v>
      </c>
    </row>
    <row r="766" spans="1:10">
      <c r="A766" s="65">
        <v>3658</v>
      </c>
      <c r="B766" s="174">
        <v>6.64</v>
      </c>
      <c r="C766" s="183">
        <v>0.76704055220017253</v>
      </c>
      <c r="D766" s="176">
        <v>70933734.939759046</v>
      </c>
      <c r="E766" s="26">
        <f>VLOOKUP(3658,季財報!$A:$H,8,0)</f>
        <v>0</v>
      </c>
      <c r="F766" s="183">
        <v>2.4813499999999999</v>
      </c>
      <c r="G766" s="176">
        <v>93632530120.481934</v>
      </c>
      <c r="H766" s="176">
        <v>7506148000</v>
      </c>
      <c r="I766" s="174">
        <v>10</v>
      </c>
      <c r="J766" s="176">
        <v>50</v>
      </c>
    </row>
    <row r="767" spans="1:10">
      <c r="A767" s="65">
        <v>3661</v>
      </c>
      <c r="B767" s="174">
        <v>1.51</v>
      </c>
      <c r="C767" s="183">
        <v>0.85321100917431192</v>
      </c>
      <c r="D767" s="176">
        <v>61589403.97350993</v>
      </c>
      <c r="E767" s="26">
        <f>VLOOKUP(3661,季財報!$A:$H,8,0)</f>
        <v>0</v>
      </c>
      <c r="F767" s="183">
        <v>1.6841666666666665E-2</v>
      </c>
      <c r="G767" s="176">
        <v>2525165562.9139071</v>
      </c>
      <c r="H767" s="176">
        <v>3979036000</v>
      </c>
      <c r="I767" s="174">
        <v>0.6346174206299986</v>
      </c>
      <c r="J767" s="176">
        <v>7.955921099480169</v>
      </c>
    </row>
    <row r="768" spans="1:10">
      <c r="A768" s="65">
        <v>3662</v>
      </c>
      <c r="B768" s="174">
        <v>0.95</v>
      </c>
      <c r="C768" s="183">
        <v>0.96678966789667897</v>
      </c>
      <c r="D768" s="176">
        <v>118947368.42105263</v>
      </c>
      <c r="E768" s="26">
        <f>VLOOKUP(3662,季財報!$A:$H,8,0)</f>
        <v>0</v>
      </c>
      <c r="F768" s="183">
        <v>0.16364999999999999</v>
      </c>
      <c r="G768" s="176">
        <v>11573578947.368422</v>
      </c>
      <c r="H768" s="176">
        <v>2107302000</v>
      </c>
      <c r="I768" s="174">
        <v>5.4921311455920518</v>
      </c>
      <c r="J768" s="176">
        <v>26.484833266372036</v>
      </c>
    </row>
    <row r="769" spans="1:10">
      <c r="A769" s="65">
        <v>3663</v>
      </c>
      <c r="B769" s="174">
        <v>-1.1299999999999999</v>
      </c>
      <c r="C769" s="183">
        <v>0.75490196078431371</v>
      </c>
      <c r="D769" s="176">
        <v>73451327.433628321</v>
      </c>
      <c r="E769" s="26">
        <f>VLOOKUP(3663,季財報!$A:$H,8,0)</f>
        <v>0</v>
      </c>
      <c r="F769" s="183">
        <v>1.8108333333333334E-2</v>
      </c>
      <c r="G769" s="176">
        <v>1167876106.1946902</v>
      </c>
      <c r="H769" s="176">
        <v>2682159000</v>
      </c>
      <c r="I769" s="174">
        <v>0.43542389030429973</v>
      </c>
      <c r="J769" s="176">
        <v>0</v>
      </c>
    </row>
    <row r="770" spans="1:10">
      <c r="A770" s="65">
        <v>3664</v>
      </c>
      <c r="B770" s="174">
        <v>-0.55000000000000004</v>
      </c>
      <c r="C770" s="183">
        <v>0.99319727891156462</v>
      </c>
      <c r="D770" s="176">
        <v>78181818.181818172</v>
      </c>
      <c r="E770" s="26">
        <f>VLOOKUP(3664,季財報!$A:$H,8,0)</f>
        <v>0</v>
      </c>
      <c r="F770" s="183">
        <v>0.36332499999999995</v>
      </c>
      <c r="G770" s="176">
        <v>1184454545.4545453</v>
      </c>
      <c r="H770" s="176">
        <v>1075872000</v>
      </c>
      <c r="I770" s="174">
        <v>1.1009251522992933</v>
      </c>
      <c r="J770" s="176">
        <v>0</v>
      </c>
    </row>
    <row r="771" spans="1:10">
      <c r="A771" s="65">
        <v>3665</v>
      </c>
      <c r="B771" s="174">
        <v>2.27</v>
      </c>
      <c r="C771" s="183">
        <v>0.72148541114058351</v>
      </c>
      <c r="D771" s="176">
        <v>91629955.947136566</v>
      </c>
      <c r="E771" s="26">
        <f>VLOOKUP(3665,季財報!$A:$H,8,0)</f>
        <v>0</v>
      </c>
      <c r="F771" s="183">
        <v>1.4474999999999997E-2</v>
      </c>
      <c r="G771" s="176">
        <v>12965638766.519825</v>
      </c>
      <c r="H771" s="176">
        <v>8101673000</v>
      </c>
      <c r="I771" s="174">
        <v>1.6003655993669239</v>
      </c>
      <c r="J771" s="176">
        <v>21.599467154703291</v>
      </c>
    </row>
    <row r="772" spans="1:10">
      <c r="A772" s="65">
        <v>3666</v>
      </c>
      <c r="B772" s="174">
        <v>0.28999999999999998</v>
      </c>
      <c r="C772" s="183">
        <v>1</v>
      </c>
      <c r="D772" s="176">
        <v>48275862.068965517</v>
      </c>
      <c r="E772" s="26">
        <f>VLOOKUP(3666,季財報!$A:$H,8,0)</f>
        <v>0</v>
      </c>
      <c r="F772" s="183">
        <v>1.0874999999999991E-2</v>
      </c>
      <c r="G772" s="176">
        <v>1037931034.4827586</v>
      </c>
      <c r="H772" s="176">
        <v>1118484000</v>
      </c>
      <c r="I772" s="174">
        <v>0.92798022545048353</v>
      </c>
      <c r="J772" s="176">
        <v>18.53448275862069</v>
      </c>
    </row>
    <row r="773" spans="1:10">
      <c r="A773" s="65">
        <v>3669</v>
      </c>
      <c r="B773" s="174">
        <v>0.21</v>
      </c>
      <c r="C773" s="183">
        <v>0.05</v>
      </c>
      <c r="D773" s="176">
        <v>90476190.476190478</v>
      </c>
      <c r="E773" s="26">
        <f>VLOOKUP(3669,季財報!$A:$H,8,0)</f>
        <v>0</v>
      </c>
      <c r="F773" s="183">
        <v>2.5833333333333333E-2</v>
      </c>
      <c r="G773" s="176">
        <v>1280238095.2380953</v>
      </c>
      <c r="H773" s="176">
        <v>1650767000</v>
      </c>
      <c r="I773" s="174">
        <v>0.77554136667264084</v>
      </c>
      <c r="J773" s="176">
        <v>50</v>
      </c>
    </row>
    <row r="774" spans="1:10">
      <c r="A774" s="65">
        <v>3672</v>
      </c>
      <c r="B774" s="174">
        <v>0.98</v>
      </c>
      <c r="C774" s="183">
        <v>0.76470588235294112</v>
      </c>
      <c r="D774" s="176">
        <v>29591836.734693877</v>
      </c>
      <c r="E774" s="26">
        <f>VLOOKUP(3672,季財報!$A:$H,8,0)</f>
        <v>0</v>
      </c>
      <c r="F774" s="183">
        <v>4.9866666666666649E-2</v>
      </c>
      <c r="G774" s="176">
        <v>1272448979.5918367</v>
      </c>
      <c r="H774" s="176">
        <v>842506000</v>
      </c>
      <c r="I774" s="174">
        <v>1.5103144423800385</v>
      </c>
      <c r="J774" s="176">
        <v>14.34458398744113</v>
      </c>
    </row>
    <row r="775" spans="1:10">
      <c r="A775" s="65">
        <v>3673</v>
      </c>
      <c r="B775" s="174">
        <v>-55.15</v>
      </c>
      <c r="C775" s="183">
        <v>0.95716713314674129</v>
      </c>
      <c r="D775" s="176">
        <v>351586582.04895741</v>
      </c>
      <c r="E775" s="26">
        <f>VLOOKUP(3673,季財報!$A:$H,8,0)</f>
        <v>0</v>
      </c>
      <c r="F775" s="183">
        <v>3.4749999999999996E-2</v>
      </c>
      <c r="G775" s="176">
        <v>34631278331.822304</v>
      </c>
      <c r="H775" s="176">
        <v>127642324000</v>
      </c>
      <c r="I775" s="174">
        <v>0.27131500936807063</v>
      </c>
      <c r="J775" s="176">
        <v>0</v>
      </c>
    </row>
    <row r="776" spans="1:10">
      <c r="A776" s="65">
        <v>3675</v>
      </c>
      <c r="B776" s="174">
        <v>0.68</v>
      </c>
      <c r="C776" s="183">
        <v>0.83018867924528306</v>
      </c>
      <c r="D776" s="176">
        <v>44117647.058823526</v>
      </c>
      <c r="E776" s="26">
        <f>VLOOKUP(3675,季財報!$A:$H,8,0)</f>
        <v>0</v>
      </c>
      <c r="F776" s="183">
        <v>-4.7500000000000206E-4</v>
      </c>
      <c r="G776" s="176">
        <v>1014705882.352941</v>
      </c>
      <c r="H776" s="176">
        <v>1073122000</v>
      </c>
      <c r="I776" s="174">
        <v>0.94556432759084341</v>
      </c>
      <c r="J776" s="176">
        <v>10.185494652406417</v>
      </c>
    </row>
    <row r="777" spans="1:10">
      <c r="A777" s="65">
        <v>3679</v>
      </c>
      <c r="B777" s="174">
        <v>1.75</v>
      </c>
      <c r="C777" s="183">
        <v>0.60427807486631013</v>
      </c>
      <c r="D777" s="176">
        <v>79428571.428571433</v>
      </c>
      <c r="E777" s="26">
        <f>VLOOKUP(3679,季財報!$A:$H,8,0)</f>
        <v>0</v>
      </c>
      <c r="F777" s="183">
        <v>2.4775000000000002E-2</v>
      </c>
      <c r="G777" s="176">
        <v>3570314285.7142863</v>
      </c>
      <c r="H777" s="176">
        <v>4395652000</v>
      </c>
      <c r="I777" s="174">
        <v>0.81223770346567159</v>
      </c>
      <c r="J777" s="176">
        <v>10.626611883691531</v>
      </c>
    </row>
    <row r="778" spans="1:10">
      <c r="A778" s="65">
        <v>3680</v>
      </c>
      <c r="B778" s="174">
        <v>0.35</v>
      </c>
      <c r="C778" s="183">
        <v>0</v>
      </c>
      <c r="D778" s="176">
        <v>62857142.857142858</v>
      </c>
      <c r="E778" s="26">
        <f>VLOOKUP(3680,季財報!$A:$H,8,0)</f>
        <v>0</v>
      </c>
      <c r="F778" s="183">
        <v>5.2949999999999997E-2</v>
      </c>
      <c r="G778" s="176">
        <v>1879428571.4285715</v>
      </c>
      <c r="H778" s="176">
        <v>1898704000</v>
      </c>
      <c r="I778" s="174">
        <v>0.98984811293838926</v>
      </c>
      <c r="J778" s="176">
        <v>0</v>
      </c>
    </row>
    <row r="779" spans="1:10">
      <c r="A779" s="65">
        <v>3682</v>
      </c>
      <c r="B779" s="174">
        <v>-0.24</v>
      </c>
      <c r="C779" s="183">
        <v>1</v>
      </c>
      <c r="D779" s="176">
        <v>3808333333.3333335</v>
      </c>
      <c r="E779" s="26">
        <f>VLOOKUP(3682,季財報!$A:$H,8,0)</f>
        <v>0</v>
      </c>
      <c r="F779" s="183">
        <v>1.0841666666666668E-2</v>
      </c>
      <c r="G779" s="176">
        <v>41320416666.666664</v>
      </c>
      <c r="H779" s="176">
        <v>15204047000</v>
      </c>
      <c r="I779" s="174">
        <v>2.717724870665466</v>
      </c>
      <c r="J779" s="176">
        <v>0</v>
      </c>
    </row>
    <row r="780" spans="1:10">
      <c r="A780" s="65">
        <v>3684</v>
      </c>
      <c r="B780" s="174">
        <v>1.88</v>
      </c>
      <c r="C780" s="183">
        <v>0.79365079365079361</v>
      </c>
      <c r="D780" s="176">
        <v>20744680.851063833</v>
      </c>
      <c r="E780" s="26">
        <f>VLOOKUP(3684,季財報!$A:$H,8,0)</f>
        <v>0</v>
      </c>
      <c r="F780" s="183">
        <v>3.7074999999999997E-2</v>
      </c>
      <c r="G780" s="176">
        <v>1331808510.638298</v>
      </c>
      <c r="H780" s="176">
        <v>671734000</v>
      </c>
      <c r="I780" s="174">
        <v>1.982642698803839</v>
      </c>
      <c r="J780" s="176">
        <v>10.756914893617024</v>
      </c>
    </row>
    <row r="781" spans="1:10">
      <c r="A781" s="65">
        <v>3685</v>
      </c>
      <c r="B781" s="174">
        <v>-0.7</v>
      </c>
      <c r="C781" s="183">
        <v>0</v>
      </c>
      <c r="D781" s="176">
        <v>80000000</v>
      </c>
      <c r="E781" s="26">
        <f>VLOOKUP(3685,季財報!$A:$H,8,0)</f>
        <v>0</v>
      </c>
      <c r="F781" s="183">
        <v>1.2891666666666662E-2</v>
      </c>
      <c r="G781" s="176">
        <v>3320000000</v>
      </c>
      <c r="H781" s="176">
        <v>616121000</v>
      </c>
      <c r="I781" s="174">
        <v>5.3885519240538793</v>
      </c>
      <c r="J781" s="176">
        <v>0</v>
      </c>
    </row>
    <row r="782" spans="1:10" ht="16.149999999999999" customHeight="1">
      <c r="A782" s="65">
        <v>3686</v>
      </c>
      <c r="B782" s="174">
        <v>-0.32</v>
      </c>
      <c r="C782" s="183">
        <v>1</v>
      </c>
      <c r="D782" s="176">
        <v>353125000</v>
      </c>
      <c r="E782" s="26">
        <f>VLOOKUP(3686,季財報!$A:$H,8,0)</f>
        <v>0</v>
      </c>
      <c r="F782" s="183">
        <v>-4.1583333333333342E-3</v>
      </c>
      <c r="G782" s="176">
        <v>2888562500</v>
      </c>
      <c r="H782" s="176">
        <v>1608080000</v>
      </c>
      <c r="I782" s="174">
        <v>1.7962803467489179</v>
      </c>
      <c r="J782" s="176">
        <v>0</v>
      </c>
    </row>
    <row r="783" spans="1:10" ht="16.5" customHeight="1">
      <c r="A783" s="65">
        <v>3687</v>
      </c>
      <c r="B783" s="174">
        <v>-1</v>
      </c>
      <c r="C783" s="183">
        <v>1</v>
      </c>
      <c r="D783" s="176">
        <v>30000000</v>
      </c>
      <c r="E783" s="26">
        <f>VLOOKUP(3687,季財報!$A:$H,8,0)</f>
        <v>0</v>
      </c>
      <c r="F783" s="183">
        <v>9.3474999999999989E-2</v>
      </c>
      <c r="G783" s="176">
        <v>1997999999.9999998</v>
      </c>
      <c r="H783" s="176">
        <v>677588000</v>
      </c>
      <c r="I783" s="174">
        <v>2.9486944869153522</v>
      </c>
      <c r="J783" s="176">
        <v>0</v>
      </c>
    </row>
    <row r="784" spans="1:10" ht="16.5" customHeight="1">
      <c r="A784" s="65">
        <v>3689</v>
      </c>
      <c r="B784" s="174">
        <v>0.54</v>
      </c>
      <c r="C784" s="183">
        <v>0.69411764705882351</v>
      </c>
      <c r="D784" s="176">
        <v>70370370.370370373</v>
      </c>
      <c r="E784" s="26">
        <f>VLOOKUP(3689,季財報!$A:$H,8,0)</f>
        <v>0</v>
      </c>
      <c r="F784" s="183">
        <v>1.0116666666666675E-2</v>
      </c>
      <c r="G784" s="176">
        <v>2470000000</v>
      </c>
      <c r="H784" s="176">
        <v>4553942000</v>
      </c>
      <c r="I784" s="174">
        <v>0.54238723286330837</v>
      </c>
      <c r="J784" s="176">
        <v>23.411016949152543</v>
      </c>
    </row>
    <row r="785" spans="1:10">
      <c r="A785" s="65">
        <v>3691</v>
      </c>
      <c r="B785" s="174">
        <v>15.25</v>
      </c>
      <c r="C785" s="183">
        <v>0.8652694610778443</v>
      </c>
      <c r="D785" s="176">
        <v>60918032.786885247</v>
      </c>
      <c r="E785" s="26">
        <f>VLOOKUP(3691,季財報!$A:$H,8,0)</f>
        <v>0</v>
      </c>
      <c r="F785" s="183">
        <v>4.6550000000000015E-2</v>
      </c>
      <c r="G785" s="176">
        <v>40266819672.131149</v>
      </c>
      <c r="H785" s="176">
        <v>14543081000</v>
      </c>
      <c r="I785" s="174">
        <v>2.7687956679971149</v>
      </c>
      <c r="J785" s="176">
        <v>12.523342220205343</v>
      </c>
    </row>
    <row r="786" spans="1:10">
      <c r="A786" s="65">
        <v>3693</v>
      </c>
      <c r="B786" s="174">
        <v>3.35</v>
      </c>
      <c r="C786" s="183">
        <v>0.69273743016759781</v>
      </c>
      <c r="D786" s="176">
        <v>38208955.223880596</v>
      </c>
      <c r="E786" s="26">
        <f>VLOOKUP(3693,季財報!$A:$H,8,0)</f>
        <v>0</v>
      </c>
      <c r="F786" s="183">
        <v>0.13569166666666668</v>
      </c>
      <c r="G786" s="176">
        <v>4967164179.1044779</v>
      </c>
      <c r="H786" s="176">
        <v>5084354000</v>
      </c>
      <c r="I786" s="174">
        <v>0.97695089270032687</v>
      </c>
      <c r="J786" s="176">
        <v>14.004573904670195</v>
      </c>
    </row>
    <row r="787" spans="1:10">
      <c r="A787" s="65">
        <v>3694</v>
      </c>
      <c r="B787" s="174">
        <v>0.61</v>
      </c>
      <c r="C787" s="183">
        <v>1</v>
      </c>
      <c r="D787" s="176">
        <v>129508196.72131148</v>
      </c>
      <c r="E787" s="26">
        <f>VLOOKUP(3694,季財報!$A:$H,8,0)</f>
        <v>0</v>
      </c>
      <c r="F787" s="183">
        <v>5.8683333333333344E-2</v>
      </c>
      <c r="G787" s="176">
        <v>2382950819.6721311</v>
      </c>
      <c r="H787" s="176">
        <v>6071330000</v>
      </c>
      <c r="I787" s="174">
        <v>0.39249238958714666</v>
      </c>
      <c r="J787" s="176">
        <v>7.5409836065573765</v>
      </c>
    </row>
    <row r="788" spans="1:10">
      <c r="A788" s="65">
        <v>3698</v>
      </c>
      <c r="B788" s="174">
        <v>0.06</v>
      </c>
      <c r="C788" s="183">
        <v>0</v>
      </c>
      <c r="D788" s="176">
        <v>600000000</v>
      </c>
      <c r="E788" s="26">
        <f>VLOOKUP(3698,季財報!$A:$H,8,0)</f>
        <v>0</v>
      </c>
      <c r="F788" s="183">
        <v>1.6783333333333327E-2</v>
      </c>
      <c r="G788" s="176">
        <v>10110000000</v>
      </c>
      <c r="H788" s="176">
        <v>14140714000</v>
      </c>
      <c r="I788" s="174">
        <v>0.714956826083888</v>
      </c>
      <c r="J788" s="176">
        <v>0</v>
      </c>
    </row>
    <row r="789" spans="1:10">
      <c r="A789" s="65">
        <v>3701</v>
      </c>
      <c r="B789" s="174">
        <v>-0.1</v>
      </c>
      <c r="C789" s="183">
        <v>1</v>
      </c>
      <c r="D789" s="176">
        <v>350000000</v>
      </c>
      <c r="E789" s="26">
        <f>VLOOKUP(3701,季財報!$A:$H,8,0)</f>
        <v>0</v>
      </c>
      <c r="F789" s="183">
        <v>8.0000000000000002E-3</v>
      </c>
      <c r="G789" s="176">
        <v>2971500000</v>
      </c>
      <c r="H789" s="176">
        <v>13134771000</v>
      </c>
      <c r="I789" s="174">
        <v>0.22623158028411763</v>
      </c>
      <c r="J789" s="176">
        <v>0</v>
      </c>
    </row>
    <row r="790" spans="1:10">
      <c r="A790" s="65">
        <v>3702</v>
      </c>
      <c r="B790" s="174">
        <v>0.98</v>
      </c>
      <c r="C790" s="183">
        <v>1</v>
      </c>
      <c r="D790" s="176">
        <v>1650000000</v>
      </c>
      <c r="E790" s="26">
        <f>VLOOKUP(3702,季財報!$A:$H,8,0)</f>
        <v>0</v>
      </c>
      <c r="F790" s="183">
        <v>3.0424999999999994E-2</v>
      </c>
      <c r="G790" s="176">
        <v>54037500000</v>
      </c>
      <c r="H790" s="176">
        <v>497600317000</v>
      </c>
      <c r="I790" s="174">
        <v>0.10859619287581763</v>
      </c>
      <c r="J790" s="176">
        <v>8.3545918367346932</v>
      </c>
    </row>
    <row r="791" spans="1:10">
      <c r="A791" s="65">
        <v>3703</v>
      </c>
      <c r="B791" s="174">
        <v>-0.14000000000000001</v>
      </c>
      <c r="C791" s="183">
        <v>0.23030303030303031</v>
      </c>
      <c r="D791" s="176">
        <v>914285714.28571415</v>
      </c>
      <c r="E791" s="26">
        <f>VLOOKUP(3703,季財報!$A:$H,8,0)</f>
        <v>0</v>
      </c>
      <c r="F791" s="183">
        <v>0.11442499999999999</v>
      </c>
      <c r="G791" s="176">
        <v>9234285714.2857132</v>
      </c>
      <c r="H791" s="176">
        <v>21503494000</v>
      </c>
      <c r="I791" s="174">
        <v>0.42943187345673745</v>
      </c>
      <c r="J791" s="176">
        <v>0</v>
      </c>
    </row>
    <row r="792" spans="1:10">
      <c r="A792" s="65">
        <v>3704</v>
      </c>
      <c r="B792" s="52">
        <v>0.23</v>
      </c>
      <c r="C792" s="184">
        <v>1</v>
      </c>
      <c r="D792" s="181">
        <v>460869565.21739131</v>
      </c>
      <c r="E792" s="26">
        <f>VLOOKUP(3704,季財報!$A:$H,8,0)</f>
        <v>0</v>
      </c>
      <c r="F792" s="184">
        <v>-1.3083333333333334E-2</v>
      </c>
      <c r="G792" s="54">
        <v>5691739130.434783</v>
      </c>
      <c r="H792" s="54">
        <v>20684543000</v>
      </c>
      <c r="I792" s="174">
        <v>0.27516871561700845</v>
      </c>
      <c r="J792" s="176">
        <v>13.42391304347826</v>
      </c>
    </row>
    <row r="793" spans="1:10">
      <c r="A793" s="65">
        <v>3705</v>
      </c>
      <c r="B793" s="52">
        <v>0.83</v>
      </c>
      <c r="C793" s="184">
        <v>0.77892030848329052</v>
      </c>
      <c r="D793" s="181">
        <v>266265060.24096388</v>
      </c>
      <c r="E793" s="26">
        <f>VLOOKUP(3705,季財報!$A:$H,8,0)</f>
        <v>0</v>
      </c>
      <c r="F793" s="184">
        <v>2.9750000000000019E-3</v>
      </c>
      <c r="G793" s="54">
        <v>13313253012.048193</v>
      </c>
      <c r="H793" s="54">
        <v>5973612000</v>
      </c>
      <c r="I793" s="66">
        <v>2.2286772244411241</v>
      </c>
      <c r="J793" s="186">
        <v>19.334764801781382</v>
      </c>
    </row>
    <row r="794" spans="1:10">
      <c r="A794" s="65">
        <v>3706</v>
      </c>
      <c r="B794" s="52">
        <v>0.64</v>
      </c>
      <c r="C794" s="184">
        <v>0.1492094861660079</v>
      </c>
      <c r="D794" s="181">
        <v>767187500</v>
      </c>
      <c r="E794" s="26">
        <f>VLOOKUP(3706,季財報!$A:$H,8,0)</f>
        <v>0</v>
      </c>
      <c r="F794" s="184">
        <v>-1.4583333333333323E-3</v>
      </c>
      <c r="G794" s="54">
        <v>19333125000</v>
      </c>
      <c r="H794" s="54">
        <v>51399095000</v>
      </c>
      <c r="I794" s="66">
        <v>0.37613745922958369</v>
      </c>
      <c r="J794" s="186">
        <v>50</v>
      </c>
    </row>
    <row r="795" spans="1:10">
      <c r="A795" s="65">
        <v>3707</v>
      </c>
      <c r="B795" s="52">
        <v>-0.92</v>
      </c>
      <c r="C795" s="184">
        <v>1</v>
      </c>
      <c r="D795" s="181">
        <v>161956521.73913044</v>
      </c>
      <c r="E795" s="26">
        <f>VLOOKUP(3707,季財報!$A:$H,8,0)</f>
        <v>0</v>
      </c>
      <c r="F795" s="184">
        <v>1.6974999999999997E-2</v>
      </c>
      <c r="G795" s="54">
        <v>1342619565.2173913</v>
      </c>
      <c r="H795" s="54">
        <v>3198790000</v>
      </c>
      <c r="I795" s="66">
        <v>0.41972732352464254</v>
      </c>
      <c r="J795" s="186">
        <v>0</v>
      </c>
    </row>
    <row r="796" spans="1:10">
      <c r="A796" s="65">
        <v>4102</v>
      </c>
      <c r="B796" s="52">
        <v>0.13</v>
      </c>
      <c r="C796" s="184">
        <v>1</v>
      </c>
      <c r="D796" s="181">
        <v>46153846.153846152</v>
      </c>
      <c r="E796" s="26">
        <f>VLOOKUP(4102,季財報!$A:$H,8,0)</f>
        <v>0</v>
      </c>
      <c r="F796" s="184">
        <v>6.5441666666666662E-2</v>
      </c>
      <c r="G796" s="54">
        <v>1292307692.3076923</v>
      </c>
      <c r="H796" s="54">
        <v>313599000</v>
      </c>
      <c r="I796" s="66">
        <v>4.1208922614794448</v>
      </c>
      <c r="J796" s="186">
        <v>50</v>
      </c>
    </row>
    <row r="797" spans="1:10">
      <c r="A797" s="65">
        <v>4103</v>
      </c>
      <c r="B797" s="52">
        <v>2.8</v>
      </c>
      <c r="C797" s="184">
        <v>0.78328981723237601</v>
      </c>
      <c r="D797" s="181">
        <v>110000000</v>
      </c>
      <c r="E797" s="26">
        <f>VLOOKUP(4103,季財報!$A:$H,8,0)</f>
        <v>0</v>
      </c>
      <c r="F797" s="184">
        <v>4.7550000000000002E-2</v>
      </c>
      <c r="G797" s="54">
        <v>10010000000</v>
      </c>
      <c r="H797" s="54">
        <v>6132340000</v>
      </c>
      <c r="I797" s="66">
        <v>1.6323295838130305</v>
      </c>
      <c r="J797" s="186">
        <v>10.372916666666667</v>
      </c>
    </row>
    <row r="798" spans="1:10">
      <c r="A798" s="65">
        <v>4104</v>
      </c>
      <c r="B798" s="52">
        <v>0.77</v>
      </c>
      <c r="C798" s="184">
        <v>0.48691099476439792</v>
      </c>
      <c r="D798" s="181">
        <v>116883116.88311689</v>
      </c>
      <c r="E798" s="26">
        <f>VLOOKUP(4104,季財報!$A:$H,8,0)</f>
        <v>0</v>
      </c>
      <c r="F798" s="184">
        <v>1.0199999999999999E-2</v>
      </c>
      <c r="G798" s="54">
        <v>6066233766.2337666</v>
      </c>
      <c r="H798" s="54">
        <v>6177972000</v>
      </c>
      <c r="I798" s="66">
        <v>0.98191344444969431</v>
      </c>
      <c r="J798" s="186">
        <v>34.607247591118558</v>
      </c>
    </row>
    <row r="799" spans="1:10">
      <c r="A799" s="65">
        <v>4105</v>
      </c>
      <c r="B799" s="52">
        <v>0.97</v>
      </c>
      <c r="C799" s="184">
        <v>0.83058823529411763</v>
      </c>
      <c r="D799" s="181">
        <v>249484536.08247423</v>
      </c>
      <c r="E799" s="26">
        <f>VLOOKUP(4105,季財報!$A:$H,8,0)</f>
        <v>0</v>
      </c>
      <c r="F799" s="184">
        <v>5.4808333333333327E-2</v>
      </c>
      <c r="G799" s="54">
        <v>24698969072.164948</v>
      </c>
      <c r="H799" s="54">
        <v>3114211000</v>
      </c>
      <c r="I799" s="66">
        <v>7.9310519011605018</v>
      </c>
      <c r="J799" s="186">
        <v>30.719751175491375</v>
      </c>
    </row>
    <row r="800" spans="1:10">
      <c r="A800" s="65">
        <v>4106</v>
      </c>
      <c r="B800" s="52">
        <v>0.2</v>
      </c>
      <c r="C800" s="184">
        <v>0.87692307692307692</v>
      </c>
      <c r="D800" s="181">
        <v>80000000</v>
      </c>
      <c r="E800" s="26">
        <f>VLOOKUP(4106,季財報!$A:$H,8,0)</f>
        <v>0</v>
      </c>
      <c r="F800" s="184">
        <v>1.2566666666666663E-2</v>
      </c>
      <c r="G800" s="54">
        <v>3372000000</v>
      </c>
      <c r="H800" s="54">
        <v>2034122000</v>
      </c>
      <c r="I800" s="66">
        <v>1.6577176786839727</v>
      </c>
      <c r="J800" s="186">
        <v>50</v>
      </c>
    </row>
    <row r="801" spans="1:10">
      <c r="A801" s="65">
        <v>4107</v>
      </c>
      <c r="B801" s="52">
        <v>1.45</v>
      </c>
      <c r="C801" s="184">
        <v>0.8044692737430168</v>
      </c>
      <c r="D801" s="181">
        <v>70344827.586206898</v>
      </c>
      <c r="E801" s="26">
        <f>VLOOKUP(4107,季財報!$A:$H,8,0)</f>
        <v>0</v>
      </c>
      <c r="F801" s="184">
        <v>1.4649999999999998E-2</v>
      </c>
      <c r="G801" s="54">
        <v>10059310344.827587</v>
      </c>
      <c r="H801" s="54">
        <v>1238498000</v>
      </c>
      <c r="I801" s="66">
        <v>8.1221853768254668</v>
      </c>
      <c r="J801" s="186">
        <v>30.647749042145591</v>
      </c>
    </row>
    <row r="802" spans="1:10">
      <c r="A802" s="65">
        <v>4108</v>
      </c>
      <c r="B802" s="52">
        <v>-0.22</v>
      </c>
      <c r="C802" s="184">
        <v>1</v>
      </c>
      <c r="D802" s="181">
        <v>163636363.63636363</v>
      </c>
      <c r="E802" s="26">
        <f>VLOOKUP(4108,季財報!$A:$H,8,0)</f>
        <v>0</v>
      </c>
      <c r="F802" s="184">
        <v>0.13990833333333333</v>
      </c>
      <c r="G802" s="54">
        <v>5015454545.454545</v>
      </c>
      <c r="H802" s="54">
        <v>22962000</v>
      </c>
      <c r="I802" s="66">
        <v>10</v>
      </c>
      <c r="J802" s="186">
        <v>0</v>
      </c>
    </row>
    <row r="803" spans="1:10">
      <c r="A803" s="65">
        <v>4109</v>
      </c>
      <c r="B803" s="52">
        <v>0.1</v>
      </c>
      <c r="C803" s="184">
        <v>1</v>
      </c>
      <c r="D803" s="181">
        <v>70000000</v>
      </c>
      <c r="E803" s="26">
        <f>VLOOKUP(4109,季財報!$A:$H,8,0)</f>
        <v>0</v>
      </c>
      <c r="F803" s="184">
        <v>2.4083333333333328E-2</v>
      </c>
      <c r="G803" s="54">
        <v>1781500000</v>
      </c>
      <c r="H803" s="54">
        <v>703356000</v>
      </c>
      <c r="I803" s="66">
        <v>2.5328567610143371</v>
      </c>
      <c r="J803" s="186">
        <v>50</v>
      </c>
    </row>
    <row r="804" spans="1:10">
      <c r="A804" s="65">
        <v>4111</v>
      </c>
      <c r="B804" s="52">
        <v>0.32</v>
      </c>
      <c r="C804" s="184">
        <v>0.83870967741935487</v>
      </c>
      <c r="D804" s="181">
        <v>56250000</v>
      </c>
      <c r="E804" s="26">
        <f>VLOOKUP(4111,季財報!$A:$H,8,0)</f>
        <v>0</v>
      </c>
      <c r="F804" s="184">
        <v>7.8833333333333342E-3</v>
      </c>
      <c r="G804" s="54">
        <v>1608750000</v>
      </c>
      <c r="H804" s="54">
        <v>914476000</v>
      </c>
      <c r="I804" s="66">
        <v>1.7592041781304266</v>
      </c>
      <c r="J804" s="186">
        <v>26.640624999999996</v>
      </c>
    </row>
    <row r="805" spans="1:10">
      <c r="A805" s="65">
        <v>4113</v>
      </c>
      <c r="B805" s="52">
        <v>0.49</v>
      </c>
      <c r="C805" s="184">
        <v>0.24647887323943662</v>
      </c>
      <c r="D805" s="181">
        <v>240816326.53061226</v>
      </c>
      <c r="E805" s="26">
        <f>VLOOKUP(4113,季財報!$A:$H,8,0)</f>
        <v>0</v>
      </c>
      <c r="F805" s="184">
        <v>4.7910083333333331</v>
      </c>
      <c r="G805" s="54">
        <v>2564693877.5510206</v>
      </c>
      <c r="H805" s="54">
        <v>618603000</v>
      </c>
      <c r="I805" s="66">
        <v>4.1459447780741776</v>
      </c>
      <c r="J805" s="186">
        <v>22.045189504373177</v>
      </c>
    </row>
    <row r="806" spans="1:10">
      <c r="A806" s="65">
        <v>4114</v>
      </c>
      <c r="B806" s="52">
        <v>0.1</v>
      </c>
      <c r="C806" s="184">
        <v>1</v>
      </c>
      <c r="D806" s="181">
        <v>130000000</v>
      </c>
      <c r="E806" s="26">
        <f>VLOOKUP(4114,季財報!$A:$H,8,0)</f>
        <v>0</v>
      </c>
      <c r="F806" s="184">
        <v>2.1983333333333337E-2</v>
      </c>
      <c r="G806" s="54">
        <v>4556500000</v>
      </c>
      <c r="H806" s="54">
        <v>1733803000</v>
      </c>
      <c r="I806" s="66">
        <v>2.6280379028067204</v>
      </c>
      <c r="J806" s="186">
        <v>50</v>
      </c>
    </row>
    <row r="807" spans="1:10">
      <c r="A807" s="65">
        <v>4119</v>
      </c>
      <c r="B807" s="52">
        <v>1.34</v>
      </c>
      <c r="C807" s="184">
        <v>0.9363636363636364</v>
      </c>
      <c r="D807" s="181">
        <v>70895522.388059691</v>
      </c>
      <c r="E807" s="26">
        <f>VLOOKUP(4119,季財報!$A:$H,8,0)</f>
        <v>0</v>
      </c>
      <c r="F807" s="184">
        <v>9.8508333333333323E-2</v>
      </c>
      <c r="G807" s="54">
        <v>6564925373.1343269</v>
      </c>
      <c r="H807" s="54">
        <v>1853488000</v>
      </c>
      <c r="I807" s="66">
        <v>3.5419303352027782</v>
      </c>
      <c r="J807" s="186">
        <v>18.450224605129687</v>
      </c>
    </row>
    <row r="808" spans="1:10">
      <c r="A808" s="65">
        <v>4120</v>
      </c>
      <c r="B808" s="52">
        <v>0.47</v>
      </c>
      <c r="C808" s="184">
        <v>1</v>
      </c>
      <c r="D808" s="181">
        <v>87234042.553191498</v>
      </c>
      <c r="E808" s="26">
        <f>VLOOKUP(4120,季財報!$A:$H,8,0)</f>
        <v>0</v>
      </c>
      <c r="F808" s="184">
        <v>-2.141666666666668E-3</v>
      </c>
      <c r="G808" s="54">
        <v>5234042553.1914902</v>
      </c>
      <c r="H808" s="54">
        <v>4961467000</v>
      </c>
      <c r="I808" s="66">
        <v>1.0549384996799314</v>
      </c>
      <c r="J808" s="186">
        <v>31.914893617021278</v>
      </c>
    </row>
    <row r="809" spans="1:10">
      <c r="A809" s="65">
        <v>4121</v>
      </c>
      <c r="B809" s="52">
        <v>0.14000000000000001</v>
      </c>
      <c r="C809" s="184">
        <v>0</v>
      </c>
      <c r="D809" s="181">
        <v>78571428.571428567</v>
      </c>
      <c r="E809" s="26">
        <f>VLOOKUP(4121,季財報!$A:$H,8,0)</f>
        <v>0</v>
      </c>
      <c r="F809" s="184">
        <v>-5.6666666666666725E-4</v>
      </c>
      <c r="G809" s="54">
        <v>1347499999.9999998</v>
      </c>
      <c r="H809" s="54">
        <v>3428193000</v>
      </c>
      <c r="I809" s="66">
        <v>0.39306421779637252</v>
      </c>
      <c r="J809" s="186">
        <v>0</v>
      </c>
    </row>
    <row r="810" spans="1:10">
      <c r="A810" s="65">
        <v>4123</v>
      </c>
      <c r="B810" s="52">
        <v>-0.04</v>
      </c>
      <c r="C810" s="184">
        <v>0.35087719298245612</v>
      </c>
      <c r="D810" s="181">
        <v>200000000</v>
      </c>
      <c r="E810" s="26">
        <f>VLOOKUP(4123,季財報!$A:$H,8,0)</f>
        <v>0</v>
      </c>
      <c r="F810" s="184">
        <v>0.88048333333333328</v>
      </c>
      <c r="G810" s="54">
        <v>14340000000</v>
      </c>
      <c r="H810" s="54">
        <v>3879430000</v>
      </c>
      <c r="I810" s="66">
        <v>3.6964193193329948</v>
      </c>
      <c r="J810" s="186">
        <v>0</v>
      </c>
    </row>
    <row r="811" spans="1:10">
      <c r="A811" s="65">
        <v>4126</v>
      </c>
      <c r="B811" s="52">
        <v>1.84</v>
      </c>
      <c r="C811" s="184">
        <v>0.86390532544378695</v>
      </c>
      <c r="D811" s="181">
        <v>66304347.826086953</v>
      </c>
      <c r="E811" s="26">
        <f>VLOOKUP(4126,季財報!$A:$H,8,0)</f>
        <v>0</v>
      </c>
      <c r="F811" s="184">
        <v>1.458333333333333E-2</v>
      </c>
      <c r="G811" s="54">
        <v>5204891304.347826</v>
      </c>
      <c r="H811" s="54">
        <v>1557354000</v>
      </c>
      <c r="I811" s="66">
        <v>3.3421375643224507</v>
      </c>
      <c r="J811" s="186">
        <v>12.345983472304944</v>
      </c>
    </row>
    <row r="812" spans="1:10">
      <c r="A812" s="65">
        <v>4127</v>
      </c>
      <c r="B812" s="52">
        <v>0.13</v>
      </c>
      <c r="C812" s="184">
        <v>1</v>
      </c>
      <c r="D812" s="181">
        <v>46153846.153846152</v>
      </c>
      <c r="E812" s="26">
        <f>VLOOKUP(4127,季財報!$A:$H,8,0)</f>
        <v>0</v>
      </c>
      <c r="F812" s="184">
        <v>5.174999999999999E-3</v>
      </c>
      <c r="G812" s="54">
        <v>1153846153.8461537</v>
      </c>
      <c r="H812" s="54">
        <v>854859000</v>
      </c>
      <c r="I812" s="66">
        <v>1.3497502557101859</v>
      </c>
      <c r="J812" s="186">
        <v>48.076923076923073</v>
      </c>
    </row>
    <row r="813" spans="1:10">
      <c r="A813" s="65">
        <v>4128</v>
      </c>
      <c r="B813" s="52">
        <v>-0.15</v>
      </c>
      <c r="C813" s="184">
        <v>1</v>
      </c>
      <c r="D813" s="181">
        <v>420000000</v>
      </c>
      <c r="E813" s="26">
        <f>VLOOKUP(4128,季財報!$A:$H,8,0)</f>
        <v>0</v>
      </c>
      <c r="F813" s="184">
        <v>2.0458333333333339E-2</v>
      </c>
      <c r="G813" s="54">
        <v>11445000000</v>
      </c>
      <c r="H813" s="54">
        <v>1541331000</v>
      </c>
      <c r="I813" s="66">
        <v>7.4254005142308825</v>
      </c>
      <c r="J813" s="186">
        <v>0</v>
      </c>
    </row>
    <row r="814" spans="1:10">
      <c r="A814" s="65">
        <v>4129</v>
      </c>
      <c r="B814" s="52">
        <v>0.7</v>
      </c>
      <c r="C814" s="184">
        <v>0.92307692307692313</v>
      </c>
      <c r="D814" s="181">
        <v>57142857.142857149</v>
      </c>
      <c r="E814" s="26">
        <f>VLOOKUP(4129,季財報!$A:$H,8,0)</f>
        <v>0</v>
      </c>
      <c r="F814" s="184">
        <v>3.8925000000000001E-2</v>
      </c>
      <c r="G814" s="54">
        <v>4502857142.8571434</v>
      </c>
      <c r="H814" s="54">
        <v>1342603000</v>
      </c>
      <c r="I814" s="66">
        <v>3.353826218813114</v>
      </c>
      <c r="J814" s="186">
        <v>30.488095238095234</v>
      </c>
    </row>
    <row r="815" spans="1:10">
      <c r="A815" s="65">
        <v>4130</v>
      </c>
      <c r="B815" s="52">
        <v>0.16</v>
      </c>
      <c r="C815" s="184">
        <v>1</v>
      </c>
      <c r="D815" s="181">
        <v>100000000</v>
      </c>
      <c r="E815" s="26">
        <f>VLOOKUP(4130,季財報!$A:$H,8,0)</f>
        <v>0</v>
      </c>
      <c r="F815" s="184">
        <v>3.0041666666666675E-2</v>
      </c>
      <c r="G815" s="54">
        <v>4680000000</v>
      </c>
      <c r="H815" s="54">
        <v>458523000</v>
      </c>
      <c r="I815" s="66">
        <v>10</v>
      </c>
      <c r="J815" s="186">
        <v>50</v>
      </c>
    </row>
    <row r="816" spans="1:10">
      <c r="A816" s="65">
        <v>4131</v>
      </c>
      <c r="B816" s="52">
        <v>-0.12</v>
      </c>
      <c r="C816" s="184">
        <v>1</v>
      </c>
      <c r="D816" s="181">
        <v>33333333.333333336</v>
      </c>
      <c r="E816" s="26">
        <f>VLOOKUP(4131,季財報!$A:$H,8,0)</f>
        <v>0</v>
      </c>
      <c r="F816" s="184">
        <v>0.99417499999999992</v>
      </c>
      <c r="G816" s="54">
        <v>370000000</v>
      </c>
      <c r="H816" s="54">
        <v>27230000</v>
      </c>
      <c r="I816" s="66">
        <v>10</v>
      </c>
      <c r="J816" s="186">
        <v>0</v>
      </c>
    </row>
    <row r="817" spans="1:10">
      <c r="A817" s="65">
        <v>4133</v>
      </c>
      <c r="B817" s="52">
        <v>0.15</v>
      </c>
      <c r="C817" s="184">
        <v>0.76470588235294112</v>
      </c>
      <c r="D817" s="181">
        <v>60000000</v>
      </c>
      <c r="E817" s="26">
        <f>VLOOKUP(4133,季財報!$A:$H,8,0)</f>
        <v>0</v>
      </c>
      <c r="F817" s="184">
        <v>8.5083333333333296E-3</v>
      </c>
      <c r="G817" s="54">
        <v>2328000000</v>
      </c>
      <c r="H817" s="54">
        <v>450251000</v>
      </c>
      <c r="I817" s="66">
        <v>5.1704493715727446</v>
      </c>
      <c r="J817" s="186">
        <v>50</v>
      </c>
    </row>
    <row r="818" spans="1:10">
      <c r="A818" s="65">
        <v>4137</v>
      </c>
      <c r="B818" s="52">
        <v>4.1100000000000003</v>
      </c>
      <c r="C818" s="184">
        <v>0.87588652482269502</v>
      </c>
      <c r="D818" s="181">
        <v>79562043.795620427</v>
      </c>
      <c r="E818" s="26">
        <f>VLOOKUP(4137,季財報!$A:$H,8,0)</f>
        <v>0</v>
      </c>
      <c r="F818" s="184">
        <v>0.13947500000000002</v>
      </c>
      <c r="G818" s="54">
        <v>29000364963.503647</v>
      </c>
      <c r="H818" s="54">
        <v>4109483000</v>
      </c>
      <c r="I818" s="66">
        <v>7.0569375669649066</v>
      </c>
      <c r="J818" s="186">
        <v>25.313248027423974</v>
      </c>
    </row>
    <row r="819" spans="1:10">
      <c r="A819" s="65">
        <v>4138</v>
      </c>
      <c r="B819" s="52">
        <v>1.08</v>
      </c>
      <c r="C819" s="184">
        <v>0.88235294117647056</v>
      </c>
      <c r="D819" s="181">
        <v>29629629.629629627</v>
      </c>
      <c r="E819" s="26">
        <f>VLOOKUP(4138,季財報!$A:$H,8,0)</f>
        <v>0</v>
      </c>
      <c r="F819" s="184">
        <v>1.5658333333333337E-2</v>
      </c>
      <c r="G819" s="54">
        <v>2050370370.3703701</v>
      </c>
      <c r="H819" s="54">
        <v>1315221000</v>
      </c>
      <c r="I819" s="66">
        <v>1.5589550124050409</v>
      </c>
      <c r="J819" s="186">
        <v>18.154320987654319</v>
      </c>
    </row>
    <row r="820" spans="1:10">
      <c r="A820" s="65">
        <v>4139</v>
      </c>
      <c r="B820" s="52">
        <v>-0.42</v>
      </c>
      <c r="C820" s="184">
        <v>0.6</v>
      </c>
      <c r="D820" s="181">
        <v>35714285.714285716</v>
      </c>
      <c r="E820" s="26">
        <f>VLOOKUP(4139,季財報!$A:$H,8,0)</f>
        <v>0</v>
      </c>
      <c r="F820" s="184">
        <v>5.2466666666666668E-2</v>
      </c>
      <c r="G820" s="54">
        <v>2625000000</v>
      </c>
      <c r="H820" s="54">
        <v>890843000</v>
      </c>
      <c r="I820" s="66">
        <v>2.9466471645396553</v>
      </c>
      <c r="J820" s="186">
        <v>0</v>
      </c>
    </row>
    <row r="821" spans="1:10">
      <c r="A821" s="65">
        <v>4141</v>
      </c>
      <c r="B821" s="52">
        <v>-1.98</v>
      </c>
      <c r="C821" s="184">
        <v>0</v>
      </c>
      <c r="D821" s="181">
        <v>152020202.02020201</v>
      </c>
      <c r="E821" s="26">
        <f>VLOOKUP(4141,季財報!$A:$H,8,0)</f>
        <v>0</v>
      </c>
      <c r="F821" s="184">
        <v>0.15031666666666668</v>
      </c>
      <c r="G821" s="54">
        <v>6050404040.4040394</v>
      </c>
      <c r="H821" s="54">
        <v>11002983000</v>
      </c>
      <c r="I821" s="66">
        <v>0.54988761142356024</v>
      </c>
      <c r="J821" s="186">
        <v>0</v>
      </c>
    </row>
    <row r="822" spans="1:10">
      <c r="A822" s="65">
        <v>4142</v>
      </c>
      <c r="B822" s="52">
        <v>-0.81</v>
      </c>
      <c r="C822" s="184">
        <v>1</v>
      </c>
      <c r="D822" s="181">
        <v>235802469.13580245</v>
      </c>
      <c r="E822" s="26">
        <f>VLOOKUP(4142,季財報!$A:$H,8,0)</f>
        <v>0</v>
      </c>
      <c r="F822" s="184">
        <v>2.1022916666666669</v>
      </c>
      <c r="G822" s="54">
        <v>6248765432.0987644</v>
      </c>
      <c r="H822" s="54">
        <v>302423000</v>
      </c>
      <c r="I822" s="66">
        <v>10</v>
      </c>
      <c r="J822" s="186">
        <v>0</v>
      </c>
    </row>
    <row r="823" spans="1:10">
      <c r="A823" s="65">
        <v>4144</v>
      </c>
      <c r="B823" s="52">
        <v>0.85</v>
      </c>
      <c r="C823" s="184">
        <v>0.75342465753424659</v>
      </c>
      <c r="D823" s="181">
        <v>77647058.823529407</v>
      </c>
      <c r="E823" s="26">
        <f>VLOOKUP(4144,季財報!$A:$H,8,0)</f>
        <v>0</v>
      </c>
      <c r="F823" s="184">
        <v>5.1991666666666665E-2</v>
      </c>
      <c r="G823" s="54">
        <v>4666588235.2941179</v>
      </c>
      <c r="H823" s="54">
        <v>2667208000</v>
      </c>
      <c r="I823" s="66">
        <v>1.7496154163057842</v>
      </c>
      <c r="J823" s="186">
        <v>23.461497326203208</v>
      </c>
    </row>
    <row r="824" spans="1:10">
      <c r="A824" s="65">
        <v>4152</v>
      </c>
      <c r="B824" s="52">
        <v>-3.37</v>
      </c>
      <c r="C824" s="184">
        <v>1</v>
      </c>
      <c r="D824" s="181">
        <v>55192878.338278927</v>
      </c>
      <c r="E824" s="26">
        <f>VLOOKUP(4152,季財報!$A:$H,8,0)</f>
        <v>0</v>
      </c>
      <c r="F824" s="184">
        <v>0.36854999999999999</v>
      </c>
      <c r="G824" s="54">
        <v>8830860534.1246281</v>
      </c>
      <c r="H824" s="54">
        <v>58709000</v>
      </c>
      <c r="I824" s="66">
        <v>10</v>
      </c>
      <c r="J824" s="186">
        <v>0</v>
      </c>
    </row>
    <row r="825" spans="1:10">
      <c r="A825" s="65">
        <v>4153</v>
      </c>
      <c r="B825" s="52">
        <v>1.67</v>
      </c>
      <c r="C825" s="184">
        <v>0.97297297297297303</v>
      </c>
      <c r="D825" s="181">
        <v>37724550.898203596</v>
      </c>
      <c r="E825" s="26">
        <f>VLOOKUP(4153,季財報!$A:$H,8,0)</f>
        <v>0</v>
      </c>
      <c r="F825" s="184">
        <v>2.0475000000000007E-2</v>
      </c>
      <c r="G825" s="54">
        <v>3014191616.7664676</v>
      </c>
      <c r="H825" s="54">
        <v>1279718000</v>
      </c>
      <c r="I825" s="66">
        <v>2.3553561149928872</v>
      </c>
      <c r="J825" s="186">
        <v>12.29333000665336</v>
      </c>
    </row>
    <row r="826" spans="1:10">
      <c r="A826" s="65">
        <v>4154</v>
      </c>
      <c r="B826" s="52">
        <v>-0.5</v>
      </c>
      <c r="C826" s="184">
        <v>0</v>
      </c>
      <c r="D826" s="181">
        <v>20000000</v>
      </c>
      <c r="E826" s="26">
        <f>VLOOKUP(4154,季財報!$A:$H,8,0)</f>
        <v>0</v>
      </c>
      <c r="F826" s="184">
        <v>1.1800000000000003E-2</v>
      </c>
      <c r="G826" s="54">
        <v>455000000</v>
      </c>
      <c r="H826" s="54">
        <v>489558000</v>
      </c>
      <c r="I826" s="66">
        <v>0.92940979414083724</v>
      </c>
      <c r="J826" s="186">
        <v>0</v>
      </c>
    </row>
    <row r="827" spans="1:10">
      <c r="A827" s="65">
        <v>4157</v>
      </c>
      <c r="B827" s="52">
        <v>-0.15</v>
      </c>
      <c r="C827" s="184">
        <v>1</v>
      </c>
      <c r="D827" s="181">
        <v>673333333.33333337</v>
      </c>
      <c r="E827" s="26">
        <f>VLOOKUP(4157,季財報!$A:$H,8,0)</f>
        <v>0</v>
      </c>
      <c r="F827" s="184">
        <v>1.5858333333333332E-2</v>
      </c>
      <c r="G827" s="54">
        <v>20368333333.333336</v>
      </c>
      <c r="H827" s="54">
        <v>78668000</v>
      </c>
      <c r="I827" s="66">
        <v>10</v>
      </c>
      <c r="J827" s="186">
        <v>0</v>
      </c>
    </row>
    <row r="828" spans="1:10">
      <c r="A828" s="65">
        <v>4160</v>
      </c>
      <c r="B828" s="52">
        <v>-0.13</v>
      </c>
      <c r="C828" s="184">
        <v>0</v>
      </c>
      <c r="D828" s="181">
        <v>23076923.076923076</v>
      </c>
      <c r="E828" s="26">
        <f>VLOOKUP(4160,季財報!$A:$H,8,0)</f>
        <v>0</v>
      </c>
      <c r="F828" s="184">
        <v>9.2933333333333354E-2</v>
      </c>
      <c r="G828" s="54">
        <v>822692307.69230759</v>
      </c>
      <c r="H828" s="54">
        <v>258272000</v>
      </c>
      <c r="I828" s="66">
        <v>3.1853716534982794</v>
      </c>
      <c r="J828" s="186">
        <v>0</v>
      </c>
    </row>
    <row r="829" spans="1:10">
      <c r="A829" s="65">
        <v>4161</v>
      </c>
      <c r="B829" s="52">
        <v>0.04</v>
      </c>
      <c r="C829" s="184">
        <v>1</v>
      </c>
      <c r="D829" s="181">
        <v>50000000</v>
      </c>
      <c r="E829" s="26">
        <f>VLOOKUP(4161,季財報!$A:$H,8,0)</f>
        <v>0</v>
      </c>
      <c r="F829" s="184">
        <v>3.1466666666666677E-2</v>
      </c>
      <c r="G829" s="54">
        <v>3525000000</v>
      </c>
      <c r="H829" s="54">
        <v>465091000</v>
      </c>
      <c r="I829" s="66">
        <v>7.5791619274507571</v>
      </c>
      <c r="J829" s="186">
        <v>50</v>
      </c>
    </row>
    <row r="830" spans="1:10">
      <c r="A830" s="65">
        <v>4162</v>
      </c>
      <c r="B830" s="52">
        <v>0.34</v>
      </c>
      <c r="C830" s="184">
        <v>0.85152838427947597</v>
      </c>
      <c r="D830" s="181">
        <v>102941176.47058822</v>
      </c>
      <c r="E830" s="26">
        <f>VLOOKUP(4162,季財報!$A:$H,8,0)</f>
        <v>0</v>
      </c>
      <c r="F830" s="184">
        <v>54.333583333333337</v>
      </c>
      <c r="G830" s="54">
        <v>24499999999.999996</v>
      </c>
      <c r="H830" s="54">
        <v>508489000</v>
      </c>
      <c r="I830" s="66">
        <v>10</v>
      </c>
      <c r="J830" s="186">
        <v>50</v>
      </c>
    </row>
    <row r="831" spans="1:10">
      <c r="A831" s="65">
        <v>4163</v>
      </c>
      <c r="B831" s="52">
        <v>2.61</v>
      </c>
      <c r="C831" s="184">
        <v>0.69230769230769229</v>
      </c>
      <c r="D831" s="181">
        <v>40229885.057471268</v>
      </c>
      <c r="E831" s="26">
        <f>VLOOKUP(4163,季財報!$A:$H,8,0)</f>
        <v>0</v>
      </c>
      <c r="F831" s="184">
        <v>-1.2833333333333308E-3</v>
      </c>
      <c r="G831" s="54">
        <v>5451149425.2873564</v>
      </c>
      <c r="H831" s="54">
        <v>1824136000</v>
      </c>
      <c r="I831" s="66">
        <v>2.988345948595585</v>
      </c>
      <c r="J831" s="186">
        <v>18.747339293316305</v>
      </c>
    </row>
    <row r="832" spans="1:10">
      <c r="A832" s="65">
        <v>4164</v>
      </c>
      <c r="B832" s="52">
        <v>0.52</v>
      </c>
      <c r="C832" s="184">
        <v>1</v>
      </c>
      <c r="D832" s="181">
        <v>130769230.76923077</v>
      </c>
      <c r="E832" s="26">
        <f>VLOOKUP(4164,季財報!$A:$H,8,0)</f>
        <v>0</v>
      </c>
      <c r="F832" s="184">
        <v>0.31891666666666668</v>
      </c>
      <c r="G832" s="54">
        <v>8813846153.8461552</v>
      </c>
      <c r="H832" s="54">
        <v>2549169000</v>
      </c>
      <c r="I832" s="66">
        <v>3.4575370067053832</v>
      </c>
      <c r="J832" s="186">
        <v>32.403846153846153</v>
      </c>
    </row>
    <row r="833" spans="1:10">
      <c r="A833" s="65">
        <v>4167</v>
      </c>
      <c r="B833" s="52">
        <v>-0.61</v>
      </c>
      <c r="C833" s="184">
        <v>0.94392523364485981</v>
      </c>
      <c r="D833" s="181">
        <v>190163934.42622951</v>
      </c>
      <c r="E833" s="26">
        <f>VLOOKUP(4167,季財報!$A:$H,8,0)</f>
        <v>0</v>
      </c>
      <c r="F833" s="184">
        <v>-5.3333333333333358E-4</v>
      </c>
      <c r="G833" s="54">
        <v>6085245901.6393442</v>
      </c>
      <c r="H833" s="54">
        <v>1184448000</v>
      </c>
      <c r="I833" s="66">
        <v>5.1376218302866352</v>
      </c>
      <c r="J833" s="186">
        <v>0</v>
      </c>
    </row>
    <row r="834" spans="1:10">
      <c r="A834" s="65">
        <v>4168</v>
      </c>
      <c r="B834" s="52">
        <v>-0.27</v>
      </c>
      <c r="C834" s="184">
        <v>1</v>
      </c>
      <c r="D834" s="181">
        <v>74074074.074074075</v>
      </c>
      <c r="E834" s="26">
        <f>VLOOKUP(4168,季財報!$A:$H,8,0)</f>
        <v>0</v>
      </c>
      <c r="F834" s="184">
        <v>6.822824999999999</v>
      </c>
      <c r="G834" s="54">
        <v>3851851851.8518519</v>
      </c>
      <c r="H834" s="54">
        <v>14896000</v>
      </c>
      <c r="I834" s="66">
        <v>10</v>
      </c>
      <c r="J834" s="186">
        <v>0</v>
      </c>
    </row>
    <row r="835" spans="1:10">
      <c r="A835" s="65">
        <v>4171</v>
      </c>
      <c r="B835" s="52">
        <v>0.17</v>
      </c>
      <c r="C835" s="184">
        <v>1</v>
      </c>
      <c r="D835" s="181">
        <v>35294117.647058822</v>
      </c>
      <c r="E835" s="26">
        <f>VLOOKUP(4171,季財報!$A:$H,8,0)</f>
        <v>0</v>
      </c>
      <c r="F835" s="184">
        <v>9.5966666666666658E-2</v>
      </c>
      <c r="G835" s="54">
        <v>1401176470.5882354</v>
      </c>
      <c r="H835" s="54">
        <v>145291000</v>
      </c>
      <c r="I835" s="66">
        <v>9.6439316309216352</v>
      </c>
      <c r="J835" s="186">
        <v>50</v>
      </c>
    </row>
    <row r="836" spans="1:10">
      <c r="A836" s="65">
        <v>4173</v>
      </c>
      <c r="B836" s="52">
        <v>7.0000000000000007E-2</v>
      </c>
      <c r="C836" s="184">
        <v>1</v>
      </c>
      <c r="D836" s="181">
        <v>42857142.857142851</v>
      </c>
      <c r="E836" s="26">
        <f>VLOOKUP(4173,季財報!$A:$H,8,0)</f>
        <v>0</v>
      </c>
      <c r="F836" s="184">
        <v>8.2499999999999934E-3</v>
      </c>
      <c r="G836" s="54">
        <v>1268571428.5714285</v>
      </c>
      <c r="H836" s="54">
        <v>1342952000</v>
      </c>
      <c r="I836" s="66">
        <v>0.94461412512988441</v>
      </c>
      <c r="J836" s="186">
        <v>50</v>
      </c>
    </row>
    <row r="837" spans="1:10">
      <c r="A837" s="65">
        <v>4174</v>
      </c>
      <c r="B837" s="52">
        <v>-0.79</v>
      </c>
      <c r="C837" s="184">
        <v>1</v>
      </c>
      <c r="D837" s="181">
        <v>169620253.16455695</v>
      </c>
      <c r="E837" s="26">
        <f>VLOOKUP(4174,季財報!$A:$H,8,0)</f>
        <v>0</v>
      </c>
      <c r="F837" s="184">
        <v>0</v>
      </c>
      <c r="G837" s="54">
        <v>93460759493.670883</v>
      </c>
      <c r="H837" s="54">
        <v>0</v>
      </c>
      <c r="I837" s="66">
        <v>0</v>
      </c>
      <c r="J837" s="186">
        <v>0</v>
      </c>
    </row>
    <row r="838" spans="1:10">
      <c r="A838" s="65">
        <v>4175</v>
      </c>
      <c r="B838" s="52">
        <v>1.17</v>
      </c>
      <c r="C838" s="184">
        <v>0.8771929824561403</v>
      </c>
      <c r="D838" s="181">
        <v>24786324.786324788</v>
      </c>
      <c r="E838" s="26">
        <f>VLOOKUP(4175,季財報!$A:$H,8,0)</f>
        <v>0</v>
      </c>
      <c r="F838" s="184">
        <v>1.8766666666666664E-2</v>
      </c>
      <c r="G838" s="54">
        <v>1972991452.9914529</v>
      </c>
      <c r="H838" s="54">
        <v>3823823000</v>
      </c>
      <c r="I838" s="66">
        <v>0.51597353041483696</v>
      </c>
      <c r="J838" s="186">
        <v>19.389743589743592</v>
      </c>
    </row>
    <row r="839" spans="1:10">
      <c r="A839" s="65">
        <v>4180</v>
      </c>
      <c r="B839" s="52">
        <v>-0.64</v>
      </c>
      <c r="C839" s="184">
        <v>0</v>
      </c>
      <c r="D839" s="181">
        <v>112500000</v>
      </c>
      <c r="E839" s="26">
        <f>VLOOKUP(4180,季財報!$A:$H,8,0)</f>
        <v>0</v>
      </c>
      <c r="F839" s="184">
        <v>0.27499999999999997</v>
      </c>
      <c r="G839" s="54">
        <v>18843750000</v>
      </c>
      <c r="H839" s="54">
        <v>430052000</v>
      </c>
      <c r="I839" s="66">
        <v>10</v>
      </c>
      <c r="J839" s="186">
        <v>0</v>
      </c>
    </row>
    <row r="840" spans="1:10">
      <c r="A840" s="65">
        <v>4188</v>
      </c>
      <c r="B840" s="52">
        <v>-0.35</v>
      </c>
      <c r="C840" s="184">
        <v>1</v>
      </c>
      <c r="D840" s="181">
        <v>40000000</v>
      </c>
      <c r="E840" s="26">
        <f>VLOOKUP(4188,季財報!$A:$H,8,0)</f>
        <v>0</v>
      </c>
      <c r="F840" s="184">
        <v>0</v>
      </c>
      <c r="G840" s="54">
        <v>1328000000</v>
      </c>
      <c r="H840" s="54">
        <v>31000</v>
      </c>
      <c r="I840" s="66">
        <v>10</v>
      </c>
      <c r="J840" s="186">
        <v>0</v>
      </c>
    </row>
    <row r="841" spans="1:10">
      <c r="A841" s="65">
        <v>4190</v>
      </c>
      <c r="B841" s="52">
        <v>1.72</v>
      </c>
      <c r="C841" s="184">
        <v>0.90374331550802134</v>
      </c>
      <c r="D841" s="181">
        <v>51744186.046511628</v>
      </c>
      <c r="E841" s="26">
        <f>VLOOKUP(4190,季財報!$A:$H,8,0)</f>
        <v>0</v>
      </c>
      <c r="F841" s="184">
        <v>-8.5258333333333325E-2</v>
      </c>
      <c r="G841" s="54">
        <v>8848255813.9534874</v>
      </c>
      <c r="H841" s="54">
        <v>327167000</v>
      </c>
      <c r="I841" s="66">
        <v>10</v>
      </c>
      <c r="J841" s="186">
        <v>27.501892115040597</v>
      </c>
    </row>
    <row r="842" spans="1:10">
      <c r="A842" s="65">
        <v>4192</v>
      </c>
      <c r="B842" s="52">
        <v>-1.22</v>
      </c>
      <c r="C842" s="184">
        <v>0.97560975609756095</v>
      </c>
      <c r="D842" s="181">
        <v>58196721.311475411</v>
      </c>
      <c r="E842" s="26">
        <f>VLOOKUP(4192,季財報!$A:$H,8,0)</f>
        <v>0</v>
      </c>
      <c r="F842" s="184">
        <v>1.5619833333333333</v>
      </c>
      <c r="G842" s="54">
        <v>2773073770.4918032</v>
      </c>
      <c r="H842" s="54">
        <v>15117000</v>
      </c>
      <c r="I842" s="66">
        <v>10</v>
      </c>
      <c r="J842" s="186">
        <v>0</v>
      </c>
    </row>
    <row r="843" spans="1:10">
      <c r="A843" s="65">
        <v>4198</v>
      </c>
      <c r="B843" s="52">
        <v>-0.81</v>
      </c>
      <c r="C843" s="184">
        <v>1</v>
      </c>
      <c r="D843" s="181">
        <v>141975308.64197531</v>
      </c>
      <c r="E843" s="26">
        <f>VLOOKUP(4198,季財報!$A:$H,8,0)</f>
        <v>0</v>
      </c>
      <c r="F843" s="184">
        <v>0.23818333333333333</v>
      </c>
      <c r="G843" s="54">
        <v>5891975308.6419754</v>
      </c>
      <c r="H843" s="54">
        <v>642487000</v>
      </c>
      <c r="I843" s="66">
        <v>9.1705751379280436</v>
      </c>
      <c r="J843" s="186">
        <v>0</v>
      </c>
    </row>
    <row r="844" spans="1:10">
      <c r="A844" s="65">
        <v>4205</v>
      </c>
      <c r="B844" s="52">
        <v>0.79</v>
      </c>
      <c r="C844" s="184">
        <v>0.97029702970297027</v>
      </c>
      <c r="D844" s="181">
        <v>73417721.518987343</v>
      </c>
      <c r="E844" s="26">
        <f>VLOOKUP(4205,季財報!$A:$H,8,0)</f>
        <v>0</v>
      </c>
      <c r="F844" s="184">
        <v>1.313333333333333E-2</v>
      </c>
      <c r="G844" s="54">
        <v>2848607594.9367085</v>
      </c>
      <c r="H844" s="54">
        <v>1292860000</v>
      </c>
      <c r="I844" s="66">
        <v>2.2033380218559695</v>
      </c>
      <c r="J844" s="186">
        <v>12.654352880392663</v>
      </c>
    </row>
    <row r="845" spans="1:10">
      <c r="A845" s="65">
        <v>4207</v>
      </c>
      <c r="B845" s="52">
        <v>-0.05</v>
      </c>
      <c r="C845" s="184">
        <v>1</v>
      </c>
      <c r="D845" s="181">
        <v>160000000</v>
      </c>
      <c r="E845" s="26">
        <f>VLOOKUP(4207,季財報!$A:$H,8,0)</f>
        <v>0</v>
      </c>
      <c r="F845" s="184">
        <v>5.4166666666666669E-3</v>
      </c>
      <c r="G845" s="54">
        <v>1592000000</v>
      </c>
      <c r="H845" s="54">
        <v>3264832000</v>
      </c>
      <c r="I845" s="66">
        <v>0.48762080254052886</v>
      </c>
      <c r="J845" s="186">
        <v>0</v>
      </c>
    </row>
    <row r="846" spans="1:10">
      <c r="A846" s="65">
        <v>4303</v>
      </c>
      <c r="B846" s="52">
        <v>0.36</v>
      </c>
      <c r="C846" s="184">
        <v>0.6</v>
      </c>
      <c r="D846" s="181">
        <v>72222222.222222224</v>
      </c>
      <c r="E846" s="26">
        <f>VLOOKUP(4303,季財報!$A:$H,8,0)</f>
        <v>0</v>
      </c>
      <c r="F846" s="184">
        <v>5.1224999999999993E-2</v>
      </c>
      <c r="G846" s="54">
        <v>931666666.66666675</v>
      </c>
      <c r="H846" s="54">
        <v>648220000</v>
      </c>
      <c r="I846" s="66">
        <v>1.4372692398671234</v>
      </c>
      <c r="J846" s="186">
        <v>14.930555555555555</v>
      </c>
    </row>
    <row r="847" spans="1:10">
      <c r="A847" s="65">
        <v>4304</v>
      </c>
      <c r="B847" s="52">
        <v>-0.38</v>
      </c>
      <c r="C847" s="184">
        <v>1</v>
      </c>
      <c r="D847" s="181">
        <v>52631578.947368421</v>
      </c>
      <c r="E847" s="26">
        <f>VLOOKUP(4304,季財報!$A:$H,8,0)</f>
        <v>0</v>
      </c>
      <c r="F847" s="184">
        <v>1.8724999999999999E-2</v>
      </c>
      <c r="G847" s="54">
        <v>621052631.57894742</v>
      </c>
      <c r="H847" s="54">
        <v>411165000</v>
      </c>
      <c r="I847" s="66">
        <v>1.5104705691849925</v>
      </c>
      <c r="J847" s="186">
        <v>0</v>
      </c>
    </row>
    <row r="848" spans="1:10">
      <c r="A848" s="65">
        <v>4305</v>
      </c>
      <c r="B848" s="52">
        <v>0.85</v>
      </c>
      <c r="C848" s="184">
        <v>0.81111111111111112</v>
      </c>
      <c r="D848" s="181">
        <v>55294117.647058822</v>
      </c>
      <c r="E848" s="26">
        <f>VLOOKUP(4305,季財報!$A:$H,8,0)</f>
        <v>0</v>
      </c>
      <c r="F848" s="184">
        <v>2.4666666666666704E-3</v>
      </c>
      <c r="G848" s="54">
        <v>1476352941.1764705</v>
      </c>
      <c r="H848" s="54">
        <v>1256782000</v>
      </c>
      <c r="I848" s="66">
        <v>1.1747088525905611</v>
      </c>
      <c r="J848" s="186">
        <v>9.6817082997582595</v>
      </c>
    </row>
    <row r="849" spans="1:10">
      <c r="A849" s="65">
        <v>4306</v>
      </c>
      <c r="B849" s="52">
        <v>0.09</v>
      </c>
      <c r="C849" s="184">
        <v>0.15365239294710328</v>
      </c>
      <c r="D849" s="181">
        <v>488888888.8888889</v>
      </c>
      <c r="E849" s="26">
        <f>VLOOKUP(4306,季財報!$A:$H,8,0)</f>
        <v>0</v>
      </c>
      <c r="F849" s="184">
        <v>7.5416666666666653E-3</v>
      </c>
      <c r="G849" s="54">
        <v>6942222222.2222223</v>
      </c>
      <c r="H849" s="54">
        <v>18225491000</v>
      </c>
      <c r="I849" s="66">
        <v>0.38090728102865501</v>
      </c>
      <c r="J849" s="186">
        <v>50</v>
      </c>
    </row>
    <row r="850" spans="1:10">
      <c r="A850" s="65">
        <v>4401</v>
      </c>
      <c r="B850" s="52">
        <v>1.1200000000000001</v>
      </c>
      <c r="C850" s="184">
        <v>1</v>
      </c>
      <c r="D850" s="181">
        <v>119642857.14285713</v>
      </c>
      <c r="E850" s="26">
        <f>VLOOKUP(4401,季財報!$A:$H,8,0)</f>
        <v>0</v>
      </c>
      <c r="F850" s="184">
        <v>2.3408333333333333E-2</v>
      </c>
      <c r="G850" s="54">
        <v>11820714285.714285</v>
      </c>
      <c r="H850" s="54">
        <v>4556485000</v>
      </c>
      <c r="I850" s="66">
        <v>2.5942616481156606</v>
      </c>
      <c r="J850" s="186">
        <v>22.053571428571427</v>
      </c>
    </row>
    <row r="851" spans="1:10">
      <c r="A851" s="65">
        <v>4402</v>
      </c>
      <c r="B851" s="52">
        <v>-1.28</v>
      </c>
      <c r="C851" s="184">
        <v>0.71296296296296291</v>
      </c>
      <c r="D851" s="181">
        <v>46093750</v>
      </c>
      <c r="E851" s="26">
        <f>VLOOKUP(4402,季財報!$A:$H,8,0)</f>
        <v>0</v>
      </c>
      <c r="F851" s="184">
        <v>0.16160833333333333</v>
      </c>
      <c r="G851" s="54">
        <v>269187500</v>
      </c>
      <c r="H851" s="54">
        <v>1071193000</v>
      </c>
      <c r="I851" s="66">
        <v>0.25129691848247704</v>
      </c>
      <c r="J851" s="186">
        <v>0</v>
      </c>
    </row>
    <row r="852" spans="1:10">
      <c r="A852" s="65">
        <v>4406</v>
      </c>
      <c r="B852" s="52">
        <v>0</v>
      </c>
      <c r="C852" s="184">
        <v>0</v>
      </c>
      <c r="D852" s="181">
        <v>0</v>
      </c>
      <c r="E852" s="26">
        <f>VLOOKUP(4406,季財報!$A:$H,8,0)</f>
        <v>0</v>
      </c>
      <c r="F852" s="184">
        <v>4.2083333333333348E-3</v>
      </c>
      <c r="G852" s="54">
        <v>0</v>
      </c>
      <c r="H852" s="54">
        <v>766383000</v>
      </c>
      <c r="I852" s="66">
        <v>0</v>
      </c>
      <c r="J852" s="186">
        <v>0</v>
      </c>
    </row>
    <row r="853" spans="1:10">
      <c r="A853" s="65">
        <v>4413</v>
      </c>
      <c r="B853" s="52">
        <v>0.4</v>
      </c>
      <c r="C853" s="184">
        <v>0</v>
      </c>
      <c r="D853" s="181">
        <v>0</v>
      </c>
      <c r="E853" s="26">
        <f>VLOOKUP(4413,季財報!$A:$H,8,0)</f>
        <v>0</v>
      </c>
      <c r="F853" s="184">
        <v>0.4035583333333333</v>
      </c>
      <c r="G853" s="54">
        <v>0</v>
      </c>
      <c r="H853" s="54">
        <v>204404000</v>
      </c>
      <c r="I853" s="66">
        <v>0</v>
      </c>
      <c r="J853" s="186">
        <v>0</v>
      </c>
    </row>
    <row r="854" spans="1:10">
      <c r="A854" s="65">
        <v>4414</v>
      </c>
      <c r="B854" s="52">
        <v>-0.16</v>
      </c>
      <c r="C854" s="184">
        <v>1</v>
      </c>
      <c r="D854" s="181">
        <v>131250000</v>
      </c>
      <c r="E854" s="26">
        <f>VLOOKUP(4414,季財報!$A:$H,8,0)</f>
        <v>0</v>
      </c>
      <c r="F854" s="184">
        <v>-1.1391666666666659E-2</v>
      </c>
      <c r="G854" s="54">
        <v>2493750000</v>
      </c>
      <c r="H854" s="54">
        <v>2355615000</v>
      </c>
      <c r="I854" s="66">
        <v>1.0586407371323412</v>
      </c>
      <c r="J854" s="186">
        <v>0</v>
      </c>
    </row>
    <row r="855" spans="1:10">
      <c r="A855" s="65">
        <v>4416</v>
      </c>
      <c r="B855" s="52">
        <v>-0.03</v>
      </c>
      <c r="C855" s="184">
        <v>1</v>
      </c>
      <c r="D855" s="181">
        <v>66666666.666666672</v>
      </c>
      <c r="E855" s="26">
        <f>VLOOKUP(4416,季財報!$A:$H,8,0)</f>
        <v>0</v>
      </c>
      <c r="F855" s="184">
        <v>12.922166666666664</v>
      </c>
      <c r="G855" s="54">
        <v>0</v>
      </c>
      <c r="H855" s="54">
        <v>1822587000</v>
      </c>
      <c r="I855" s="66">
        <v>0</v>
      </c>
      <c r="J855" s="186">
        <v>0</v>
      </c>
    </row>
    <row r="856" spans="1:10">
      <c r="A856" s="65">
        <v>4417</v>
      </c>
      <c r="B856" s="52">
        <v>0.98</v>
      </c>
      <c r="C856" s="184">
        <v>0.97241379310344822</v>
      </c>
      <c r="D856" s="181">
        <v>81632653.06122449</v>
      </c>
      <c r="E856" s="26">
        <f>VLOOKUP(4417,季財報!$A:$H,8,0)</f>
        <v>0</v>
      </c>
      <c r="F856" s="184">
        <v>-8.3166666666666684E-3</v>
      </c>
      <c r="G856" s="54">
        <v>3130612244.8979592</v>
      </c>
      <c r="H856" s="54">
        <v>3019551000</v>
      </c>
      <c r="I856" s="66">
        <v>1.0367807150460315</v>
      </c>
      <c r="J856" s="186">
        <v>10.06069981183963</v>
      </c>
    </row>
    <row r="857" spans="1:10">
      <c r="A857" s="65">
        <v>4419</v>
      </c>
      <c r="B857" s="52">
        <v>-0.22</v>
      </c>
      <c r="C857" s="184">
        <v>0.8571428571428571</v>
      </c>
      <c r="D857" s="181">
        <v>22727272.727272727</v>
      </c>
      <c r="E857" s="26">
        <f>VLOOKUP(4419,季財報!$A:$H,8,0)</f>
        <v>0</v>
      </c>
      <c r="F857" s="184">
        <v>-2.3266666666666661E-2</v>
      </c>
      <c r="G857" s="54">
        <v>151818181.81818181</v>
      </c>
      <c r="H857" s="54">
        <v>77829000</v>
      </c>
      <c r="I857" s="66">
        <v>1.9506634007655477</v>
      </c>
      <c r="J857" s="186">
        <v>0</v>
      </c>
    </row>
    <row r="858" spans="1:10">
      <c r="A858" s="65">
        <v>4420</v>
      </c>
      <c r="B858" s="52">
        <v>0.15</v>
      </c>
      <c r="C858" s="184">
        <v>9.3333333333333338E-2</v>
      </c>
      <c r="D858" s="181">
        <v>33333333.333333336</v>
      </c>
      <c r="E858" s="26">
        <f>VLOOKUP(4420,季財報!$A:$H,8,0)</f>
        <v>0</v>
      </c>
      <c r="F858" s="184">
        <v>9.2058333333333311E-2</v>
      </c>
      <c r="G858" s="54">
        <v>1623333333.3333335</v>
      </c>
      <c r="H858" s="54">
        <v>519776000</v>
      </c>
      <c r="I858" s="66">
        <v>3.1231402245069675</v>
      </c>
      <c r="J858" s="186">
        <v>50</v>
      </c>
    </row>
    <row r="859" spans="1:10">
      <c r="A859" s="65">
        <v>4426</v>
      </c>
      <c r="B859" s="52">
        <v>1.91</v>
      </c>
      <c r="C859" s="184">
        <v>0.92088607594936711</v>
      </c>
      <c r="D859" s="181">
        <v>91099476.439790577</v>
      </c>
      <c r="E859" s="26">
        <f>VLOOKUP(4426,季財報!$A:$H,8,0)</f>
        <v>0</v>
      </c>
      <c r="F859" s="184">
        <v>6.6775000000000001E-2</v>
      </c>
      <c r="G859" s="54">
        <v>16489005235.602095</v>
      </c>
      <c r="H859" s="54">
        <v>2014866000</v>
      </c>
      <c r="I859" s="66">
        <v>8.1836733736149672</v>
      </c>
      <c r="J859" s="186">
        <v>25.7264173008762</v>
      </c>
    </row>
    <row r="860" spans="1:10">
      <c r="A860" s="65">
        <v>4429</v>
      </c>
      <c r="B860" s="52">
        <v>0.53</v>
      </c>
      <c r="C860" s="184">
        <v>0.92592592592592593</v>
      </c>
      <c r="D860" s="181">
        <v>33962264.150943391</v>
      </c>
      <c r="E860" s="26">
        <f>VLOOKUP(4429,季財報!$A:$H,8,0)</f>
        <v>0</v>
      </c>
      <c r="F860" s="184">
        <v>1.5591666666666665E-2</v>
      </c>
      <c r="G860" s="54">
        <v>794716981.13207531</v>
      </c>
      <c r="H860" s="54">
        <v>1011186000</v>
      </c>
      <c r="I860" s="66">
        <v>0.78592561717831866</v>
      </c>
      <c r="J860" s="186">
        <v>11.920754716981131</v>
      </c>
    </row>
    <row r="861" spans="1:10">
      <c r="A861" s="65">
        <v>4430</v>
      </c>
      <c r="B861" s="52">
        <v>0.51</v>
      </c>
      <c r="C861" s="184">
        <v>0.31944444444444442</v>
      </c>
      <c r="D861" s="181">
        <v>56862745.098039217</v>
      </c>
      <c r="E861" s="26">
        <f>VLOOKUP(4430,季財報!$A:$H,8,0)</f>
        <v>0</v>
      </c>
      <c r="F861" s="184">
        <v>-3.7749999999999975E-3</v>
      </c>
      <c r="G861" s="54">
        <v>1626274509.8039217</v>
      </c>
      <c r="H861" s="54">
        <v>1978730000</v>
      </c>
      <c r="I861" s="66">
        <v>0.82187792665190385</v>
      </c>
      <c r="J861" s="186">
        <v>43.887468030690542</v>
      </c>
    </row>
    <row r="862" spans="1:10">
      <c r="A862" s="65">
        <v>4432</v>
      </c>
      <c r="B862" s="52">
        <v>2.16</v>
      </c>
      <c r="C862" s="184">
        <v>0.65306122448979587</v>
      </c>
      <c r="D862" s="181">
        <v>50462962.962962963</v>
      </c>
      <c r="E862" s="26">
        <f>VLOOKUP(4432,季財報!$A:$H,8,0)</f>
        <v>0</v>
      </c>
      <c r="F862" s="184">
        <v>2.3091666666666653E-2</v>
      </c>
      <c r="G862" s="54">
        <v>4122824074.0740743</v>
      </c>
      <c r="H862" s="54">
        <v>2378873000</v>
      </c>
      <c r="I862" s="66">
        <v>1.7330996963999652</v>
      </c>
      <c r="J862" s="186">
        <v>14.479528356481481</v>
      </c>
    </row>
    <row r="863" spans="1:10">
      <c r="A863" s="65">
        <v>4433</v>
      </c>
      <c r="B863" s="52">
        <v>0.18</v>
      </c>
      <c r="C863" s="184">
        <v>0.125</v>
      </c>
      <c r="D863" s="181">
        <v>27777777.77777778</v>
      </c>
      <c r="E863" s="26">
        <f>VLOOKUP(4433,季財報!$A:$H,8,0)</f>
        <v>0</v>
      </c>
      <c r="F863" s="184">
        <v>1.3650000000000002E-2</v>
      </c>
      <c r="G863" s="54">
        <v>1072222222.2222223</v>
      </c>
      <c r="H863" s="54">
        <v>1445873000</v>
      </c>
      <c r="I863" s="66">
        <v>0.74157427534937181</v>
      </c>
      <c r="J863" s="186">
        <v>50</v>
      </c>
    </row>
    <row r="864" spans="1:10">
      <c r="A864" s="65">
        <v>4502</v>
      </c>
      <c r="B864" s="52">
        <v>-1.38</v>
      </c>
      <c r="C864" s="184">
        <v>0.72</v>
      </c>
      <c r="D864" s="181">
        <v>27536231.884057973</v>
      </c>
      <c r="E864" s="26">
        <f>VLOOKUP(4502,季財報!$A:$H,8,0)</f>
        <v>0</v>
      </c>
      <c r="F864" s="184">
        <v>0.16443333333333329</v>
      </c>
      <c r="G864" s="54">
        <v>678768115.942029</v>
      </c>
      <c r="H864" s="54">
        <v>1385670000</v>
      </c>
      <c r="I864" s="66">
        <v>0.48984831593527245</v>
      </c>
      <c r="J864" s="186">
        <v>0</v>
      </c>
    </row>
    <row r="865" spans="1:10">
      <c r="A865" s="65">
        <v>4503</v>
      </c>
      <c r="B865" s="52">
        <v>0.04</v>
      </c>
      <c r="C865" s="184">
        <v>1</v>
      </c>
      <c r="D865" s="181">
        <v>50000000</v>
      </c>
      <c r="E865" s="26">
        <f>VLOOKUP(4503,季財報!$A:$H,8,0)</f>
        <v>0</v>
      </c>
      <c r="F865" s="184">
        <v>0.98405833333333348</v>
      </c>
      <c r="G865" s="54">
        <v>630000000</v>
      </c>
      <c r="H865" s="54">
        <v>192680000</v>
      </c>
      <c r="I865" s="66">
        <v>3.2696699190367449</v>
      </c>
      <c r="J865" s="186">
        <v>50</v>
      </c>
    </row>
    <row r="866" spans="1:10">
      <c r="A866" s="65">
        <v>4506</v>
      </c>
      <c r="B866" s="52">
        <v>0.8</v>
      </c>
      <c r="C866" s="184">
        <v>0.96</v>
      </c>
      <c r="D866" s="181">
        <v>197500000</v>
      </c>
      <c r="E866" s="26">
        <f>VLOOKUP(4506,季財報!$A:$H,8,0)</f>
        <v>0</v>
      </c>
      <c r="F866" s="184">
        <v>0.11770000000000003</v>
      </c>
      <c r="G866" s="54">
        <v>5609000000</v>
      </c>
      <c r="H866" s="54">
        <v>4596819000</v>
      </c>
      <c r="I866" s="66">
        <v>1.220191615114713</v>
      </c>
      <c r="J866" s="186">
        <v>9.2447916666666661</v>
      </c>
    </row>
    <row r="867" spans="1:10">
      <c r="A867" s="65">
        <v>4510</v>
      </c>
      <c r="B867" s="52">
        <v>0.61</v>
      </c>
      <c r="C867" s="184">
        <v>0.6333333333333333</v>
      </c>
      <c r="D867" s="181">
        <v>106557377.04918033</v>
      </c>
      <c r="E867" s="26">
        <f>VLOOKUP(4510,季財報!$A:$H,8,0)</f>
        <v>0</v>
      </c>
      <c r="F867" s="184">
        <v>9.7583333333333324E-3</v>
      </c>
      <c r="G867" s="54">
        <v>1864754098.3606558</v>
      </c>
      <c r="H867" s="54">
        <v>2128415000</v>
      </c>
      <c r="I867" s="66">
        <v>0.87612335863102631</v>
      </c>
      <c r="J867" s="186">
        <v>11.324417601380501</v>
      </c>
    </row>
    <row r="868" spans="1:10">
      <c r="A868" s="65">
        <v>4513</v>
      </c>
      <c r="B868" s="52">
        <v>2.0499999999999998</v>
      </c>
      <c r="C868" s="184">
        <v>0</v>
      </c>
      <c r="D868" s="181">
        <v>76585365.853658542</v>
      </c>
      <c r="E868" s="26">
        <f>VLOOKUP(4513,季財報!$A:$H,8,0)</f>
        <v>0</v>
      </c>
      <c r="F868" s="184">
        <v>4.5058333333333332E-2</v>
      </c>
      <c r="G868" s="54">
        <v>842439024.39024401</v>
      </c>
      <c r="H868" s="54">
        <v>2269080000</v>
      </c>
      <c r="I868" s="66">
        <v>0.37126898319594021</v>
      </c>
      <c r="J868" s="186">
        <v>0</v>
      </c>
    </row>
    <row r="869" spans="1:10">
      <c r="A869" s="65">
        <v>4523</v>
      </c>
      <c r="B869" s="52">
        <v>-0.24</v>
      </c>
      <c r="C869" s="184">
        <v>0</v>
      </c>
      <c r="D869" s="181">
        <v>66666666.666666672</v>
      </c>
      <c r="E869" s="26">
        <f>VLOOKUP(4523,季財報!$A:$H,8,0)</f>
        <v>0</v>
      </c>
      <c r="F869" s="184">
        <v>2.7449999999999992E-2</v>
      </c>
      <c r="G869" s="54">
        <v>1210000000</v>
      </c>
      <c r="H869" s="54">
        <v>1525601000</v>
      </c>
      <c r="I869" s="66">
        <v>0.79313005169765882</v>
      </c>
      <c r="J869" s="186">
        <v>0</v>
      </c>
    </row>
    <row r="870" spans="1:10">
      <c r="A870" s="65">
        <v>4526</v>
      </c>
      <c r="B870" s="52">
        <v>0.8</v>
      </c>
      <c r="C870" s="184">
        <v>0.32128514056224899</v>
      </c>
      <c r="D870" s="181">
        <v>255000000</v>
      </c>
      <c r="E870" s="26">
        <f>VLOOKUP(4526,季財報!$A:$H,8,0)</f>
        <v>0</v>
      </c>
      <c r="F870" s="184">
        <v>6.1100000000000008E-2</v>
      </c>
      <c r="G870" s="54">
        <v>6107250000</v>
      </c>
      <c r="H870" s="54">
        <v>9121372000</v>
      </c>
      <c r="I870" s="66">
        <v>0.66955387851739845</v>
      </c>
      <c r="J870" s="186">
        <v>23.295117187499997</v>
      </c>
    </row>
    <row r="871" spans="1:10">
      <c r="A871" s="65">
        <v>4527</v>
      </c>
      <c r="B871" s="52">
        <v>0.56999999999999995</v>
      </c>
      <c r="C871" s="184">
        <v>0.93670886075949367</v>
      </c>
      <c r="D871" s="181">
        <v>77192982.456140354</v>
      </c>
      <c r="E871" s="26">
        <f>VLOOKUP(4527,季財報!$A:$H,8,0)</f>
        <v>0</v>
      </c>
      <c r="F871" s="184">
        <v>4.986666666666667E-2</v>
      </c>
      <c r="G871" s="54">
        <v>1740701754.3859651</v>
      </c>
      <c r="H871" s="54">
        <v>2353899000</v>
      </c>
      <c r="I871" s="66">
        <v>0.73949721478532648</v>
      </c>
      <c r="J871" s="186">
        <v>10.558617828354672</v>
      </c>
    </row>
    <row r="872" spans="1:10">
      <c r="A872" s="65">
        <v>4528</v>
      </c>
      <c r="B872" s="52">
        <v>0.82</v>
      </c>
      <c r="C872" s="184">
        <v>0.96062992125984248</v>
      </c>
      <c r="D872" s="181">
        <v>76829268.292682931</v>
      </c>
      <c r="E872" s="26">
        <f>VLOOKUP(4528,季財報!$A:$H,8,0)</f>
        <v>0</v>
      </c>
      <c r="F872" s="184">
        <v>2.164166666666667E-2</v>
      </c>
      <c r="G872" s="54">
        <v>5016951219.5121956</v>
      </c>
      <c r="H872" s="54">
        <v>2212636000</v>
      </c>
      <c r="I872" s="66">
        <v>2.2674091985813281</v>
      </c>
      <c r="J872" s="186">
        <v>20.724460215913638</v>
      </c>
    </row>
    <row r="873" spans="1:10">
      <c r="A873" s="65">
        <v>4529</v>
      </c>
      <c r="B873" s="52">
        <v>-0.39</v>
      </c>
      <c r="C873" s="184">
        <v>1</v>
      </c>
      <c r="D873" s="181">
        <v>76923076.923076928</v>
      </c>
      <c r="E873" s="26">
        <f>VLOOKUP(4529,季財報!$A:$H,8,0)</f>
        <v>0</v>
      </c>
      <c r="F873" s="184">
        <v>9.995833333333333E-2</v>
      </c>
      <c r="G873" s="54">
        <v>4276923076.9230771</v>
      </c>
      <c r="H873" s="54">
        <v>6558000</v>
      </c>
      <c r="I873" s="66">
        <v>10</v>
      </c>
      <c r="J873" s="186">
        <v>0</v>
      </c>
    </row>
    <row r="874" spans="1:10">
      <c r="A874" s="65">
        <v>4530</v>
      </c>
      <c r="B874" s="52">
        <v>0.09</v>
      </c>
      <c r="C874" s="184">
        <v>0.9285714285714286</v>
      </c>
      <c r="D874" s="181">
        <v>22222222.222222224</v>
      </c>
      <c r="E874" s="26">
        <f>VLOOKUP(4530,季財報!$A:$H,8,0)</f>
        <v>0</v>
      </c>
      <c r="F874" s="184">
        <v>-2.8233333333333333E-2</v>
      </c>
      <c r="G874" s="54">
        <v>105555555.55555557</v>
      </c>
      <c r="H874" s="54">
        <v>65759000</v>
      </c>
      <c r="I874" s="66">
        <v>1.6051879675109957</v>
      </c>
      <c r="J874" s="186">
        <v>14.209401709401709</v>
      </c>
    </row>
    <row r="875" spans="1:10">
      <c r="A875" s="65">
        <v>4532</v>
      </c>
      <c r="B875" s="52">
        <v>0.5</v>
      </c>
      <c r="C875" s="184">
        <v>0.89312977099236646</v>
      </c>
      <c r="D875" s="181">
        <v>472000000</v>
      </c>
      <c r="E875" s="26">
        <f>VLOOKUP(4532,季財報!$A:$H,8,0)</f>
        <v>0</v>
      </c>
      <c r="F875" s="184">
        <v>-6.9000000000000008E-3</v>
      </c>
      <c r="G875" s="54">
        <v>11044800000</v>
      </c>
      <c r="H875" s="54">
        <v>15581079000</v>
      </c>
      <c r="I875" s="66">
        <v>0.7088597651035593</v>
      </c>
      <c r="J875" s="186">
        <v>13.099999999999998</v>
      </c>
    </row>
    <row r="876" spans="1:10">
      <c r="A876" s="65">
        <v>4533</v>
      </c>
      <c r="B876" s="52">
        <v>0.12</v>
      </c>
      <c r="C876" s="184">
        <v>0.8125</v>
      </c>
      <c r="D876" s="181">
        <v>158333333.33333334</v>
      </c>
      <c r="E876" s="26">
        <f>VLOOKUP(4533,季財報!$A:$H,8,0)</f>
        <v>0</v>
      </c>
      <c r="F876" s="184">
        <v>0.16935833333333331</v>
      </c>
      <c r="G876" s="54">
        <v>1852500000</v>
      </c>
      <c r="H876" s="54">
        <v>3405033000</v>
      </c>
      <c r="I876" s="66">
        <v>0.54404759072819564</v>
      </c>
      <c r="J876" s="186">
        <v>29.999999999999996</v>
      </c>
    </row>
    <row r="877" spans="1:10">
      <c r="A877" s="65">
        <v>4534</v>
      </c>
      <c r="B877" s="52">
        <v>0.43</v>
      </c>
      <c r="C877" s="184">
        <v>0.38461538461538464</v>
      </c>
      <c r="D877" s="181">
        <v>76744186.046511635</v>
      </c>
      <c r="E877" s="26">
        <f>VLOOKUP(4534,季財報!$A:$H,8,0)</f>
        <v>0</v>
      </c>
      <c r="F877" s="184">
        <v>4.5241666666666673E-2</v>
      </c>
      <c r="G877" s="54">
        <v>836511627.90697682</v>
      </c>
      <c r="H877" s="54">
        <v>1150544000</v>
      </c>
      <c r="I877" s="66">
        <v>0.72705748576932028</v>
      </c>
      <c r="J877" s="186">
        <v>16.476744186046513</v>
      </c>
    </row>
    <row r="878" spans="1:10">
      <c r="A878" s="65">
        <v>4535</v>
      </c>
      <c r="B878" s="52">
        <v>1.06</v>
      </c>
      <c r="C878" s="184">
        <v>1</v>
      </c>
      <c r="D878" s="181">
        <v>75471698.113207549</v>
      </c>
      <c r="E878" s="26">
        <f>VLOOKUP(4535,季財報!$A:$H,8,0)</f>
        <v>0</v>
      </c>
      <c r="F878" s="184">
        <v>7.8499999999999976E-3</v>
      </c>
      <c r="G878" s="54">
        <v>3433962264.1509433</v>
      </c>
      <c r="H878" s="54">
        <v>3372335000</v>
      </c>
      <c r="I878" s="66">
        <v>1.0182743600949915</v>
      </c>
      <c r="J878" s="186">
        <v>10.731132075471697</v>
      </c>
    </row>
    <row r="879" spans="1:10">
      <c r="A879" s="65">
        <v>4536</v>
      </c>
      <c r="B879" s="52">
        <v>2.67</v>
      </c>
      <c r="C879" s="184">
        <v>0.50855745721271395</v>
      </c>
      <c r="D879" s="181">
        <v>90636704.119850188</v>
      </c>
      <c r="E879" s="26">
        <f>VLOOKUP(4536,季財報!$A:$H,8,0)</f>
        <v>0</v>
      </c>
      <c r="F879" s="184">
        <v>2.4233333333333332E-2</v>
      </c>
      <c r="G879" s="54">
        <v>11238951310.861423</v>
      </c>
      <c r="H879" s="54">
        <v>6797124000</v>
      </c>
      <c r="I879" s="66">
        <v>1.6534862849142407</v>
      </c>
      <c r="J879" s="186">
        <v>22.830236243157589</v>
      </c>
    </row>
    <row r="880" spans="1:10">
      <c r="A880" s="65">
        <v>4541</v>
      </c>
      <c r="B880" s="52">
        <v>0.37</v>
      </c>
      <c r="C880" s="184">
        <v>0.72222222222222221</v>
      </c>
      <c r="D880" s="181">
        <v>54054054.054054052</v>
      </c>
      <c r="E880" s="26">
        <f>VLOOKUP(4541,季財報!$A:$H,8,0)</f>
        <v>0</v>
      </c>
      <c r="F880" s="184">
        <v>1.6966666666666668E-2</v>
      </c>
      <c r="G880" s="54">
        <v>1745945945.9459457</v>
      </c>
      <c r="H880" s="54">
        <v>1049837000</v>
      </c>
      <c r="I880" s="66">
        <v>1.6630638336674606</v>
      </c>
      <c r="J880" s="186">
        <v>30.218295218295218</v>
      </c>
    </row>
    <row r="881" spans="1:11">
      <c r="A881" s="65">
        <v>4542</v>
      </c>
      <c r="B881" s="52">
        <v>0.36</v>
      </c>
      <c r="C881" s="184">
        <v>0</v>
      </c>
      <c r="D881" s="181">
        <v>27777777.77777778</v>
      </c>
      <c r="E881" s="26">
        <f>VLOOKUP(4542,季財報!$A:$H,8,0)</f>
        <v>0</v>
      </c>
      <c r="F881" s="184">
        <v>0.11800833333333334</v>
      </c>
      <c r="G881" s="54">
        <v>577777777.77777779</v>
      </c>
      <c r="H881" s="54">
        <v>564247000</v>
      </c>
      <c r="I881" s="66">
        <v>1.0239802387567463</v>
      </c>
      <c r="J881" s="186">
        <v>0</v>
      </c>
      <c r="K881" s="32"/>
    </row>
    <row r="882" spans="1:11">
      <c r="A882" s="65">
        <v>4549</v>
      </c>
      <c r="B882" s="52">
        <v>0.98</v>
      </c>
      <c r="C882" s="184">
        <v>0.6</v>
      </c>
      <c r="D882" s="181">
        <v>37755102.040816329</v>
      </c>
      <c r="E882" s="26">
        <f>VLOOKUP(4549,季財報!$A:$H,8,0)</f>
        <v>0</v>
      </c>
      <c r="F882" s="184">
        <v>-9.5166666666666663E-3</v>
      </c>
      <c r="G882" s="54">
        <v>3114795918.3673472</v>
      </c>
      <c r="H882" s="54">
        <v>845854000</v>
      </c>
      <c r="I882" s="66">
        <v>3.6824273673321248</v>
      </c>
      <c r="J882" s="186">
        <v>35.076530612244902</v>
      </c>
    </row>
    <row r="883" spans="1:11">
      <c r="A883" s="65">
        <v>4550</v>
      </c>
      <c r="B883" s="52">
        <v>0.22</v>
      </c>
      <c r="C883" s="184">
        <v>0.95652173913043481</v>
      </c>
      <c r="D883" s="181">
        <v>31818181.818181816</v>
      </c>
      <c r="E883" s="26">
        <f>VLOOKUP(4550,季財報!$A:$H,8,0)</f>
        <v>0</v>
      </c>
      <c r="F883" s="184">
        <v>-3.4025E-2</v>
      </c>
      <c r="G883" s="54">
        <v>760454545.45454538</v>
      </c>
      <c r="H883" s="54">
        <v>1151027000</v>
      </c>
      <c r="I883" s="66">
        <v>0.66067481080334811</v>
      </c>
      <c r="J883" s="186">
        <v>28.39359504132231</v>
      </c>
    </row>
    <row r="884" spans="1:11">
      <c r="A884" s="65">
        <v>4551</v>
      </c>
      <c r="B884" s="52">
        <v>1.08</v>
      </c>
      <c r="C884" s="184">
        <v>1</v>
      </c>
      <c r="D884" s="181">
        <v>79629629.629629627</v>
      </c>
      <c r="E884" s="26">
        <f>VLOOKUP(4551,季財報!$A:$H,8,0)</f>
        <v>0</v>
      </c>
      <c r="F884" s="184">
        <v>2.6449999999999998E-2</v>
      </c>
      <c r="G884" s="54">
        <v>6211111111.1111107</v>
      </c>
      <c r="H884" s="54">
        <v>2990021000</v>
      </c>
      <c r="I884" s="66">
        <v>2.0772800963976876</v>
      </c>
      <c r="J884" s="186">
        <v>18.055555555555554</v>
      </c>
    </row>
    <row r="885" spans="1:11">
      <c r="A885" s="65">
        <v>4555</v>
      </c>
      <c r="B885" s="52">
        <v>1.6</v>
      </c>
      <c r="C885" s="184">
        <v>0.94791666666666663</v>
      </c>
      <c r="D885" s="181">
        <v>61250000</v>
      </c>
      <c r="E885" s="26">
        <f>VLOOKUP(4555,季財報!$A:$H,8,0)</f>
        <v>0</v>
      </c>
      <c r="F885" s="184">
        <v>8.6833333333333328E-3</v>
      </c>
      <c r="G885" s="54">
        <v>4893875000</v>
      </c>
      <c r="H885" s="54">
        <v>1368501000</v>
      </c>
      <c r="I885" s="66">
        <v>3.5760843433800926</v>
      </c>
      <c r="J885" s="186">
        <v>13.170329670329672</v>
      </c>
    </row>
    <row r="886" spans="1:11">
      <c r="A886" s="65">
        <v>4557</v>
      </c>
      <c r="B886" s="52">
        <v>2.4</v>
      </c>
      <c r="C886" s="184">
        <v>0.76229508196721307</v>
      </c>
      <c r="D886" s="181">
        <v>30833333.333333336</v>
      </c>
      <c r="E886" s="26">
        <f>VLOOKUP(4557,季財報!$A:$H,8,0)</f>
        <v>0</v>
      </c>
      <c r="F886" s="184">
        <v>-0.10129166666666667</v>
      </c>
      <c r="G886" s="54">
        <v>2559166666.666667</v>
      </c>
      <c r="H886" s="54">
        <v>346829000</v>
      </c>
      <c r="I886" s="66">
        <v>7.378756293927748</v>
      </c>
      <c r="J886" s="186">
        <v>11.341845878136201</v>
      </c>
    </row>
    <row r="887" spans="1:11">
      <c r="A887" s="65">
        <v>4609</v>
      </c>
      <c r="B887" s="52">
        <v>0.84</v>
      </c>
      <c r="C887" s="184">
        <v>1</v>
      </c>
      <c r="D887" s="181">
        <v>47619047.619047619</v>
      </c>
      <c r="E887" s="26">
        <f>VLOOKUP(4609,季財報!$A:$H,8,0)</f>
        <v>0</v>
      </c>
      <c r="F887" s="184">
        <v>8.8775000000000007E-2</v>
      </c>
      <c r="G887" s="54">
        <v>458095238.09523809</v>
      </c>
      <c r="H887" s="54">
        <v>1140339000</v>
      </c>
      <c r="I887" s="66">
        <v>0.40171846976665543</v>
      </c>
      <c r="J887" s="186">
        <v>2.8630952380952381</v>
      </c>
    </row>
    <row r="888" spans="1:11">
      <c r="A888" s="65">
        <v>4702</v>
      </c>
      <c r="B888" s="52">
        <v>0.05</v>
      </c>
      <c r="C888" s="184">
        <v>0</v>
      </c>
      <c r="D888" s="181">
        <v>220000000</v>
      </c>
      <c r="E888" s="26">
        <f>VLOOKUP(4702,季財報!$A:$H,8,0)</f>
        <v>0</v>
      </c>
      <c r="F888" s="184">
        <v>1.1174999999999997E-2</v>
      </c>
      <c r="G888" s="54">
        <v>3157000000</v>
      </c>
      <c r="H888" s="54">
        <v>1070052000</v>
      </c>
      <c r="I888" s="66">
        <v>2.9503239094922491</v>
      </c>
      <c r="J888" s="186">
        <v>0</v>
      </c>
    </row>
    <row r="889" spans="1:11">
      <c r="A889" s="65">
        <v>4706</v>
      </c>
      <c r="B889" s="52">
        <v>0.43</v>
      </c>
      <c r="C889" s="184">
        <v>0.98</v>
      </c>
      <c r="D889" s="181">
        <v>79069767.441860467</v>
      </c>
      <c r="E889" s="26">
        <f>VLOOKUP(4706,季財報!$A:$H,8,0)</f>
        <v>0</v>
      </c>
      <c r="F889" s="184">
        <v>2.7741666666666678E-2</v>
      </c>
      <c r="G889" s="54">
        <v>1186046511.627907</v>
      </c>
      <c r="H889" s="54">
        <v>1460066000</v>
      </c>
      <c r="I889" s="66">
        <v>0.81232390291117462</v>
      </c>
      <c r="J889" s="186">
        <v>8.89890840056953</v>
      </c>
    </row>
    <row r="890" spans="1:11">
      <c r="A890" s="65">
        <v>4711</v>
      </c>
      <c r="B890" s="52">
        <v>0.28000000000000003</v>
      </c>
      <c r="C890" s="184">
        <v>0.85</v>
      </c>
      <c r="D890" s="181">
        <v>60714285.714285709</v>
      </c>
      <c r="E890" s="26">
        <f>VLOOKUP(4711,季財報!$A:$H,8,0)</f>
        <v>0</v>
      </c>
      <c r="F890" s="184">
        <v>-9.4916666666666621E-3</v>
      </c>
      <c r="G890" s="54">
        <v>737678571.42857134</v>
      </c>
      <c r="H890" s="54">
        <v>1223323000</v>
      </c>
      <c r="I890" s="66">
        <v>0.6030121001800598</v>
      </c>
      <c r="J890" s="186">
        <v>12.762605042016807</v>
      </c>
    </row>
    <row r="891" spans="1:11">
      <c r="A891" s="65">
        <v>4712</v>
      </c>
      <c r="B891" s="52">
        <v>-7.0000000000000007E-2</v>
      </c>
      <c r="C891" s="184">
        <v>1</v>
      </c>
      <c r="D891" s="181">
        <v>99999999.999999985</v>
      </c>
      <c r="E891" s="26">
        <f>VLOOKUP(4712,季財報!$A:$H,8,0)</f>
        <v>0</v>
      </c>
      <c r="F891" s="184">
        <v>-4.5766666666666671E-2</v>
      </c>
      <c r="G891" s="54">
        <v>729999999.99999988</v>
      </c>
      <c r="H891" s="54">
        <v>1185445000</v>
      </c>
      <c r="I891" s="66">
        <v>0.61580250454470675</v>
      </c>
      <c r="J891" s="186">
        <v>0</v>
      </c>
    </row>
    <row r="892" spans="1:11">
      <c r="A892" s="65">
        <v>4714</v>
      </c>
      <c r="B892" s="52">
        <v>7.0000000000000007E-2</v>
      </c>
      <c r="C892" s="184">
        <v>1</v>
      </c>
      <c r="D892" s="181">
        <v>71428571.428571418</v>
      </c>
      <c r="E892" s="26">
        <f>VLOOKUP(4714,季財報!$A:$H,8,0)</f>
        <v>0</v>
      </c>
      <c r="F892" s="184">
        <v>5.1108333333333346E-2</v>
      </c>
      <c r="G892" s="54">
        <v>617142857.14285707</v>
      </c>
      <c r="H892" s="54">
        <v>752638000</v>
      </c>
      <c r="I892" s="66">
        <v>0.81997302440596553</v>
      </c>
      <c r="J892" s="186">
        <v>30.857142857142858</v>
      </c>
    </row>
    <row r="893" spans="1:11">
      <c r="A893" s="65">
        <v>4716</v>
      </c>
      <c r="B893" s="52">
        <v>0.14000000000000001</v>
      </c>
      <c r="C893" s="184">
        <v>0.46666666666666667</v>
      </c>
      <c r="D893" s="181">
        <v>71428571.428571418</v>
      </c>
      <c r="E893" s="26">
        <f>VLOOKUP(4716,季財報!$A:$H,8,0)</f>
        <v>0</v>
      </c>
      <c r="F893" s="184">
        <v>3.6291666666666673E-2</v>
      </c>
      <c r="G893" s="54">
        <v>739285714.28571415</v>
      </c>
      <c r="H893" s="54">
        <v>1117736000</v>
      </c>
      <c r="I893" s="66">
        <v>0.66141353082097576</v>
      </c>
      <c r="J893" s="186">
        <v>39.604591836734691</v>
      </c>
    </row>
    <row r="894" spans="1:11">
      <c r="A894" s="65">
        <v>4720</v>
      </c>
      <c r="B894" s="52">
        <v>0.5</v>
      </c>
      <c r="C894" s="184">
        <v>0.6470588235294118</v>
      </c>
      <c r="D894" s="181">
        <v>80000000</v>
      </c>
      <c r="E894" s="26">
        <f>VLOOKUP(4720,季財報!$A:$H,8,0)</f>
        <v>0</v>
      </c>
      <c r="F894" s="184">
        <v>3.4800000000000005E-2</v>
      </c>
      <c r="G894" s="54">
        <v>1388000000</v>
      </c>
      <c r="H894" s="54">
        <v>2454225000</v>
      </c>
      <c r="I894" s="66">
        <v>0.56555531787020341</v>
      </c>
      <c r="J894" s="186">
        <v>13.406818181818183</v>
      </c>
    </row>
    <row r="895" spans="1:11">
      <c r="A895" s="65">
        <v>4721</v>
      </c>
      <c r="B895" s="52">
        <v>0.85</v>
      </c>
      <c r="C895" s="184">
        <v>0.36363636363636365</v>
      </c>
      <c r="D895" s="181">
        <v>75294117.64705883</v>
      </c>
      <c r="E895" s="26">
        <f>VLOOKUP(4721,季財報!$A:$H,8,0)</f>
        <v>0</v>
      </c>
      <c r="F895" s="184">
        <v>2.8850000000000004E-2</v>
      </c>
      <c r="G895" s="54">
        <v>2176000000</v>
      </c>
      <c r="H895" s="54">
        <v>2088995000</v>
      </c>
      <c r="I895" s="66">
        <v>1.0416492140957734</v>
      </c>
      <c r="J895" s="186">
        <v>23.375</v>
      </c>
    </row>
    <row r="896" spans="1:11">
      <c r="A896" s="65">
        <v>4722</v>
      </c>
      <c r="B896" s="52">
        <v>1.31</v>
      </c>
      <c r="C896" s="184">
        <v>0.78306878306878303</v>
      </c>
      <c r="D896" s="181">
        <v>88549618.320610687</v>
      </c>
      <c r="E896" s="26">
        <f>VLOOKUP(4722,季財報!$A:$H,8,0)</f>
        <v>0</v>
      </c>
      <c r="F896" s="184">
        <v>-1.7416666666666657E-3</v>
      </c>
      <c r="G896" s="54">
        <v>2953129770.9923663</v>
      </c>
      <c r="H896" s="54">
        <v>4639300000</v>
      </c>
      <c r="I896" s="66">
        <v>0.63654641238815479</v>
      </c>
      <c r="J896" s="186">
        <v>8.1276433876624719</v>
      </c>
    </row>
    <row r="897" spans="1:10">
      <c r="A897" s="65">
        <v>4725</v>
      </c>
      <c r="B897" s="52">
        <v>-1.35</v>
      </c>
      <c r="C897" s="184">
        <v>0.84305555555555556</v>
      </c>
      <c r="D897" s="181">
        <v>291851851.85185182</v>
      </c>
      <c r="E897" s="26">
        <f>VLOOKUP(4725,季財報!$A:$H,8,0)</f>
        <v>0</v>
      </c>
      <c r="F897" s="184">
        <v>-4.9191666666666668E-2</v>
      </c>
      <c r="G897" s="54">
        <v>4786370370.3703699</v>
      </c>
      <c r="H897" s="54">
        <v>12869300000</v>
      </c>
      <c r="I897" s="66">
        <v>0.37192157851401164</v>
      </c>
      <c r="J897" s="186">
        <v>0</v>
      </c>
    </row>
    <row r="898" spans="1:10">
      <c r="A898" s="65">
        <v>4726</v>
      </c>
      <c r="B898" s="52">
        <v>-0.04</v>
      </c>
      <c r="C898" s="184">
        <v>1</v>
      </c>
      <c r="D898" s="181">
        <v>100000000</v>
      </c>
      <c r="E898" s="26">
        <f>VLOOKUP(4726,季財報!$A:$H,8,0)</f>
        <v>0</v>
      </c>
      <c r="F898" s="184">
        <v>0.97666666666666657</v>
      </c>
      <c r="G898" s="54">
        <v>5710000000</v>
      </c>
      <c r="H898" s="54">
        <v>136410000</v>
      </c>
      <c r="I898" s="66">
        <v>10</v>
      </c>
      <c r="J898" s="186">
        <v>0</v>
      </c>
    </row>
    <row r="899" spans="1:10">
      <c r="A899" s="65">
        <v>4728</v>
      </c>
      <c r="B899" s="52">
        <v>-0.17</v>
      </c>
      <c r="C899" s="184">
        <v>1</v>
      </c>
      <c r="D899" s="181">
        <v>52941176.47058823</v>
      </c>
      <c r="E899" s="26">
        <f>VLOOKUP(4728,季財報!$A:$H,8,0)</f>
        <v>0</v>
      </c>
      <c r="F899" s="184">
        <v>2.7474999999999996E-2</v>
      </c>
      <c r="G899" s="54">
        <v>1548529411.7647057</v>
      </c>
      <c r="H899" s="54">
        <v>140087000</v>
      </c>
      <c r="I899" s="66">
        <v>10</v>
      </c>
      <c r="J899" s="186">
        <v>0</v>
      </c>
    </row>
    <row r="900" spans="1:10">
      <c r="A900" s="65">
        <v>4729</v>
      </c>
      <c r="B900" s="52">
        <v>0.04</v>
      </c>
      <c r="C900" s="184">
        <v>1</v>
      </c>
      <c r="D900" s="181">
        <v>125000000</v>
      </c>
      <c r="E900" s="26">
        <f>VLOOKUP(4729,季財報!$A:$H,8,0)</f>
        <v>0</v>
      </c>
      <c r="F900" s="184">
        <v>2.0508333333333337E-2</v>
      </c>
      <c r="G900" s="54">
        <v>1606250000</v>
      </c>
      <c r="H900" s="54">
        <v>5706956000</v>
      </c>
      <c r="I900" s="66">
        <v>0.28145477203609071</v>
      </c>
      <c r="J900" s="186">
        <v>50</v>
      </c>
    </row>
    <row r="901" spans="1:10">
      <c r="A901" s="65">
        <v>4733</v>
      </c>
      <c r="B901" s="52">
        <v>4.6500000000000004</v>
      </c>
      <c r="C901" s="184">
        <v>1</v>
      </c>
      <c r="D901" s="181">
        <v>86236559.139784947</v>
      </c>
      <c r="E901" s="26">
        <f>VLOOKUP(4733,季財報!$A:$H,8,0)</f>
        <v>0</v>
      </c>
      <c r="F901" s="184">
        <v>6.981666666666668E-2</v>
      </c>
      <c r="G901" s="54">
        <v>18540860215.053764</v>
      </c>
      <c r="H901" s="54">
        <v>9705331000</v>
      </c>
      <c r="I901" s="66">
        <v>1.9103789675028873</v>
      </c>
      <c r="J901" s="186">
        <v>11.559139784946236</v>
      </c>
    </row>
    <row r="902" spans="1:10">
      <c r="A902" s="65">
        <v>4735</v>
      </c>
      <c r="B902" s="52">
        <v>0.76</v>
      </c>
      <c r="C902" s="184">
        <v>0.8</v>
      </c>
      <c r="D902" s="181">
        <v>31578947.368421052</v>
      </c>
      <c r="E902" s="26">
        <f>VLOOKUP(4735,季財報!$A:$H,8,0)</f>
        <v>0</v>
      </c>
      <c r="F902" s="184">
        <v>0.10962499999999999</v>
      </c>
      <c r="G902" s="54">
        <v>945789473.68421042</v>
      </c>
      <c r="H902" s="54">
        <v>1022346000</v>
      </c>
      <c r="I902" s="66">
        <v>0.92511681337258655</v>
      </c>
      <c r="J902" s="186">
        <v>12.314967105263156</v>
      </c>
    </row>
    <row r="903" spans="1:10">
      <c r="A903" s="65">
        <v>4736</v>
      </c>
      <c r="B903" s="52">
        <v>3.25</v>
      </c>
      <c r="C903" s="184">
        <v>0.60691823899371067</v>
      </c>
      <c r="D903" s="181">
        <v>68923076.923076928</v>
      </c>
      <c r="E903" s="26">
        <f>VLOOKUP(4736,季財報!$A:$H,8,0)</f>
        <v>0</v>
      </c>
      <c r="F903" s="184">
        <v>3.7791666666666668E-2</v>
      </c>
      <c r="G903" s="54">
        <v>7512615384.6153851</v>
      </c>
      <c r="H903" s="54">
        <v>2657127000</v>
      </c>
      <c r="I903" s="66">
        <v>2.8273452434209525</v>
      </c>
      <c r="J903" s="186">
        <v>13.815065763252292</v>
      </c>
    </row>
    <row r="904" spans="1:10">
      <c r="A904" s="65">
        <v>4737</v>
      </c>
      <c r="B904" s="52">
        <v>0.59</v>
      </c>
      <c r="C904" s="184">
        <v>1</v>
      </c>
      <c r="D904" s="181">
        <v>50847457.627118647</v>
      </c>
      <c r="E904" s="26">
        <f>VLOOKUP(4737,季財報!$A:$H,8,0)</f>
        <v>0</v>
      </c>
      <c r="F904" s="184">
        <v>1.8766666666666678E-2</v>
      </c>
      <c r="G904" s="54">
        <v>3106779661.0169492</v>
      </c>
      <c r="H904" s="54">
        <v>1613989000</v>
      </c>
      <c r="I904" s="66">
        <v>1.924907580545437</v>
      </c>
      <c r="J904" s="186">
        <v>25.889830508474578</v>
      </c>
    </row>
    <row r="905" spans="1:10">
      <c r="A905" s="65">
        <v>4739</v>
      </c>
      <c r="B905" s="52">
        <v>0.15</v>
      </c>
      <c r="C905" s="184">
        <v>1</v>
      </c>
      <c r="D905" s="181">
        <v>66666666.666666672</v>
      </c>
      <c r="E905" s="26">
        <f>VLOOKUP(4739,季財報!$A:$H,8,0)</f>
        <v>0</v>
      </c>
      <c r="F905" s="184">
        <v>2.6383333333333338E-2</v>
      </c>
      <c r="G905" s="54">
        <v>2586666666.6666665</v>
      </c>
      <c r="H905" s="54">
        <v>3776506000</v>
      </c>
      <c r="I905" s="66">
        <v>0.68493646419909471</v>
      </c>
      <c r="J905" s="186">
        <v>50</v>
      </c>
    </row>
    <row r="906" spans="1:10">
      <c r="A906" s="65">
        <v>4743</v>
      </c>
      <c r="B906" s="52">
        <v>-0.1</v>
      </c>
      <c r="C906" s="184">
        <v>1</v>
      </c>
      <c r="D906" s="181">
        <v>190000000</v>
      </c>
      <c r="E906" s="26">
        <f>VLOOKUP(4743,季財報!$A:$H,8,0)</f>
        <v>0</v>
      </c>
      <c r="F906" s="184">
        <v>1.119375</v>
      </c>
      <c r="G906" s="54">
        <v>7077500000</v>
      </c>
      <c r="H906" s="54">
        <v>8387000</v>
      </c>
      <c r="I906" s="66">
        <v>10</v>
      </c>
      <c r="J906" s="186">
        <v>0</v>
      </c>
    </row>
    <row r="907" spans="1:10">
      <c r="A907" s="65">
        <v>4745</v>
      </c>
      <c r="B907" s="52">
        <v>0.48</v>
      </c>
      <c r="C907" s="184">
        <v>1</v>
      </c>
      <c r="D907" s="181">
        <v>58333333.333333336</v>
      </c>
      <c r="E907" s="26">
        <f>VLOOKUP(4745,季財報!$A:$H,8,0)</f>
        <v>0</v>
      </c>
      <c r="F907" s="184">
        <v>3.0799999999999994E-2</v>
      </c>
      <c r="G907" s="54">
        <v>4141666666.666667</v>
      </c>
      <c r="H907" s="54">
        <v>3242131000</v>
      </c>
      <c r="I907" s="66">
        <v>1.2774519804001341</v>
      </c>
      <c r="J907" s="186">
        <v>36.979166666666671</v>
      </c>
    </row>
    <row r="908" spans="1:10">
      <c r="A908" s="65">
        <v>4746</v>
      </c>
      <c r="B908" s="52">
        <v>1.34</v>
      </c>
      <c r="C908" s="184">
        <v>0.74045801526717558</v>
      </c>
      <c r="D908" s="181">
        <v>85074626.865671635</v>
      </c>
      <c r="E908" s="26">
        <f>VLOOKUP(4746,季財報!$A:$H,8,0)</f>
        <v>0</v>
      </c>
      <c r="F908" s="184">
        <v>0.12566666666666668</v>
      </c>
      <c r="G908" s="54">
        <v>5793582089.5522375</v>
      </c>
      <c r="H908" s="54">
        <v>2368238000</v>
      </c>
      <c r="I908" s="66">
        <v>2.4463681815561769</v>
      </c>
      <c r="J908" s="186">
        <v>17.1586013232805</v>
      </c>
    </row>
    <row r="909" spans="1:10">
      <c r="A909" s="65">
        <v>4747</v>
      </c>
      <c r="B909" s="52">
        <v>0.48</v>
      </c>
      <c r="C909" s="184">
        <v>0.9285714285714286</v>
      </c>
      <c r="D909" s="181">
        <v>29166666.666666668</v>
      </c>
      <c r="E909" s="26">
        <f>VLOOKUP(4747,季財報!$A:$H,8,0)</f>
        <v>0</v>
      </c>
      <c r="F909" s="184">
        <v>1.35E-2</v>
      </c>
      <c r="G909" s="54">
        <v>1324166666.6666667</v>
      </c>
      <c r="H909" s="54">
        <v>366184000</v>
      </c>
      <c r="I909" s="66">
        <v>3.6161237701993172</v>
      </c>
      <c r="J909" s="186">
        <v>25.464743589743588</v>
      </c>
    </row>
    <row r="910" spans="1:10">
      <c r="A910" s="65">
        <v>4755</v>
      </c>
      <c r="B910" s="52">
        <v>0.68</v>
      </c>
      <c r="C910" s="184">
        <v>0.68224299065420557</v>
      </c>
      <c r="D910" s="181">
        <v>89705882.35294117</v>
      </c>
      <c r="E910" s="26">
        <f>VLOOKUP(4755,季財報!$A:$H,8,0)</f>
        <v>0</v>
      </c>
      <c r="F910" s="184">
        <v>6.1833333333333297E-3</v>
      </c>
      <c r="G910" s="54">
        <v>2152941176.4705882</v>
      </c>
      <c r="H910" s="54">
        <v>3443417000</v>
      </c>
      <c r="I910" s="66">
        <v>0.62523393956369155</v>
      </c>
      <c r="J910" s="186">
        <v>12.933118452860596</v>
      </c>
    </row>
    <row r="911" spans="1:10">
      <c r="A911" s="65">
        <v>4903</v>
      </c>
      <c r="B911" s="52">
        <v>0.32</v>
      </c>
      <c r="C911" s="184">
        <v>0.66666666666666663</v>
      </c>
      <c r="D911" s="181">
        <v>87500000</v>
      </c>
      <c r="E911" s="26">
        <f>VLOOKUP(4903,季財報!$A:$H,8,0)</f>
        <v>0</v>
      </c>
      <c r="F911" s="184">
        <v>8.6249999999999993E-2</v>
      </c>
      <c r="G911" s="54">
        <v>848749999.99999988</v>
      </c>
      <c r="H911" s="54">
        <v>1876150000</v>
      </c>
      <c r="I911" s="66">
        <v>0.45238920128987548</v>
      </c>
      <c r="J911" s="186">
        <v>11.3671875</v>
      </c>
    </row>
    <row r="912" spans="1:10">
      <c r="A912" s="65">
        <v>4904</v>
      </c>
      <c r="B912" s="52">
        <v>0.99</v>
      </c>
      <c r="C912" s="184">
        <v>1</v>
      </c>
      <c r="D912" s="181">
        <v>3247474747.4747477</v>
      </c>
      <c r="E912" s="26">
        <f>VLOOKUP(4904,季財報!$A:$H,8,0)</f>
        <v>0</v>
      </c>
      <c r="F912" s="184">
        <v>5.308333333333335E-3</v>
      </c>
      <c r="G912" s="54">
        <v>226998484848.48489</v>
      </c>
      <c r="H912" s="54">
        <v>97806271000</v>
      </c>
      <c r="I912" s="66">
        <v>2.3208990847681421</v>
      </c>
      <c r="J912" s="186">
        <v>17.651515151515152</v>
      </c>
    </row>
    <row r="913" spans="1:10">
      <c r="A913" s="65">
        <v>4905</v>
      </c>
      <c r="B913" s="52">
        <v>1.01</v>
      </c>
      <c r="C913" s="184">
        <v>0</v>
      </c>
      <c r="D913" s="181">
        <v>51485148.514851488</v>
      </c>
      <c r="E913" s="26">
        <f>VLOOKUP(4905,季財報!$A:$H,8,0)</f>
        <v>0</v>
      </c>
      <c r="F913" s="184">
        <v>0.23834999999999998</v>
      </c>
      <c r="G913" s="54">
        <v>2100594059.4059405</v>
      </c>
      <c r="H913" s="54">
        <v>144211000</v>
      </c>
      <c r="I913" s="66">
        <v>10</v>
      </c>
      <c r="J913" s="186">
        <v>0</v>
      </c>
    </row>
    <row r="914" spans="1:10">
      <c r="A914" s="65">
        <v>4906</v>
      </c>
      <c r="B914" s="52">
        <v>0.5</v>
      </c>
      <c r="C914" s="184">
        <v>0.18124999999999999</v>
      </c>
      <c r="D914" s="181">
        <v>298000000</v>
      </c>
      <c r="E914" s="26">
        <f>VLOOKUP(4906,季財報!$A:$H,8,0)</f>
        <v>0</v>
      </c>
      <c r="F914" s="184">
        <v>9.9999999999999482E-4</v>
      </c>
      <c r="G914" s="54">
        <v>4559400000</v>
      </c>
      <c r="H914" s="54">
        <v>18131538000</v>
      </c>
      <c r="I914" s="66">
        <v>0.25146239662625419</v>
      </c>
      <c r="J914" s="186">
        <v>42.206896551724142</v>
      </c>
    </row>
    <row r="915" spans="1:10">
      <c r="A915" s="65">
        <v>4908</v>
      </c>
      <c r="B915" s="52">
        <v>0.3</v>
      </c>
      <c r="C915" s="184">
        <v>0.56666666666666665</v>
      </c>
      <c r="D915" s="181">
        <v>76666666.666666672</v>
      </c>
      <c r="E915" s="26">
        <f>VLOOKUP(4908,季財報!$A:$H,8,0)</f>
        <v>0</v>
      </c>
      <c r="F915" s="184">
        <v>4.5500000000000028E-3</v>
      </c>
      <c r="G915" s="54">
        <v>1514166666.6666667</v>
      </c>
      <c r="H915" s="54">
        <v>1030015000</v>
      </c>
      <c r="I915" s="66">
        <v>1.4700433165212805</v>
      </c>
      <c r="J915" s="186">
        <v>29.044117647058826</v>
      </c>
    </row>
    <row r="916" spans="1:10">
      <c r="A916" s="65">
        <v>4909</v>
      </c>
      <c r="B916" s="52">
        <v>1.1299999999999999</v>
      </c>
      <c r="C916" s="184">
        <v>0.48091603053435117</v>
      </c>
      <c r="D916" s="181">
        <v>92920353.982300892</v>
      </c>
      <c r="E916" s="26">
        <f>VLOOKUP(4909,季財報!$A:$H,8,0)</f>
        <v>0</v>
      </c>
      <c r="F916" s="184">
        <v>3.5133333333333336E-2</v>
      </c>
      <c r="G916" s="54">
        <v>2211504424.7787614</v>
      </c>
      <c r="H916" s="54">
        <v>1549650000</v>
      </c>
      <c r="I916" s="66">
        <v>1.4270992964725979</v>
      </c>
      <c r="J916" s="186">
        <v>10.948869223205508</v>
      </c>
    </row>
    <row r="917" spans="1:10">
      <c r="A917" s="65">
        <v>4911</v>
      </c>
      <c r="B917" s="52">
        <v>-0.04</v>
      </c>
      <c r="C917" s="184">
        <v>1</v>
      </c>
      <c r="D917" s="181">
        <v>50000000</v>
      </c>
      <c r="E917" s="26">
        <f>VLOOKUP(4911,季財報!$A:$H,8,0)</f>
        <v>0</v>
      </c>
      <c r="F917" s="184">
        <v>0.14624166666666666</v>
      </c>
      <c r="G917" s="54">
        <v>4260000000</v>
      </c>
      <c r="H917" s="54">
        <v>47788000</v>
      </c>
      <c r="I917" s="66">
        <v>10</v>
      </c>
      <c r="J917" s="186">
        <v>0</v>
      </c>
    </row>
    <row r="918" spans="1:10">
      <c r="A918" s="65">
        <v>4912</v>
      </c>
      <c r="B918" s="52">
        <v>2.06</v>
      </c>
      <c r="C918" s="184">
        <v>1</v>
      </c>
      <c r="D918" s="181">
        <v>39805825.242718443</v>
      </c>
      <c r="E918" s="26">
        <f>VLOOKUP(4912,季財報!$A:$H,8,0)</f>
        <v>0</v>
      </c>
      <c r="F918" s="184">
        <v>1.9608333333333328E-2</v>
      </c>
      <c r="G918" s="54">
        <v>3244174757.2815533</v>
      </c>
      <c r="H918" s="54">
        <v>2955559000</v>
      </c>
      <c r="I918" s="66">
        <v>1.0976518341476362</v>
      </c>
      <c r="J918" s="186">
        <v>9.8907766990291268</v>
      </c>
    </row>
    <row r="919" spans="1:10">
      <c r="A919" s="65">
        <v>4915</v>
      </c>
      <c r="B919" s="52">
        <v>1.1499999999999999</v>
      </c>
      <c r="C919" s="184">
        <v>0.76444444444444448</v>
      </c>
      <c r="D919" s="181">
        <v>435652173.9130435</v>
      </c>
      <c r="E919" s="26">
        <f>VLOOKUP(4915,季財報!$A:$H,8,0)</f>
        <v>0</v>
      </c>
      <c r="F919" s="184">
        <v>5.2275000000000016E-2</v>
      </c>
      <c r="G919" s="54">
        <v>18645913043.47826</v>
      </c>
      <c r="H919" s="54">
        <v>61550058000</v>
      </c>
      <c r="I919" s="66">
        <v>0.30293900037394378</v>
      </c>
      <c r="J919" s="186">
        <v>12.171385237613752</v>
      </c>
    </row>
    <row r="920" spans="1:10">
      <c r="A920" s="65">
        <v>4919</v>
      </c>
      <c r="B920" s="52">
        <v>0.71</v>
      </c>
      <c r="C920" s="184">
        <v>0.76298701298701299</v>
      </c>
      <c r="D920" s="181">
        <v>208450704.22535211</v>
      </c>
      <c r="E920" s="26">
        <f>VLOOKUP(4919,季財報!$A:$H,8,0)</f>
        <v>0</v>
      </c>
      <c r="F920" s="184">
        <v>2.7316666666666673E-2</v>
      </c>
      <c r="G920" s="54">
        <v>6263943661.9718313</v>
      </c>
      <c r="H920" s="54">
        <v>7165338000</v>
      </c>
      <c r="I920" s="66">
        <v>0.87420072325573916</v>
      </c>
      <c r="J920" s="186">
        <v>13.867845370092898</v>
      </c>
    </row>
    <row r="921" spans="1:10">
      <c r="A921" s="65">
        <v>4924</v>
      </c>
      <c r="B921" s="52">
        <v>-0.6</v>
      </c>
      <c r="C921" s="184">
        <v>0.73684210526315785</v>
      </c>
      <c r="D921" s="181">
        <v>36666666.666666672</v>
      </c>
      <c r="E921" s="26">
        <f>VLOOKUP(4924,季財報!$A:$H,8,0)</f>
        <v>0</v>
      </c>
      <c r="F921" s="184">
        <v>3.1483333333333335E-2</v>
      </c>
      <c r="G921" s="54">
        <v>243833333.33333337</v>
      </c>
      <c r="H921" s="54">
        <v>598834000</v>
      </c>
      <c r="I921" s="66">
        <v>0.40718017569699344</v>
      </c>
      <c r="J921" s="186">
        <v>0</v>
      </c>
    </row>
    <row r="922" spans="1:10">
      <c r="A922" s="65">
        <v>4927</v>
      </c>
      <c r="B922" s="52">
        <v>2.02</v>
      </c>
      <c r="C922" s="184">
        <v>1</v>
      </c>
      <c r="D922" s="181">
        <v>122772277.22772276</v>
      </c>
      <c r="E922" s="26">
        <f>VLOOKUP(4927,季財報!$A:$H,8,0)</f>
        <v>0</v>
      </c>
      <c r="F922" s="184">
        <v>3.0258333333333328E-2</v>
      </c>
      <c r="G922" s="54">
        <v>5138019801.9801979</v>
      </c>
      <c r="H922" s="54">
        <v>8556645000</v>
      </c>
      <c r="I922" s="66">
        <v>0.60047130645015634</v>
      </c>
      <c r="J922" s="186">
        <v>5.1794554455445549</v>
      </c>
    </row>
    <row r="923" spans="1:10">
      <c r="A923" s="65">
        <v>4930</v>
      </c>
      <c r="B923" s="52">
        <v>0</v>
      </c>
      <c r="C923" s="184">
        <v>0</v>
      </c>
      <c r="D923" s="181">
        <v>0</v>
      </c>
      <c r="E923" s="26">
        <f>VLOOKUP(4930,季財報!$A:$H,8,0)</f>
        <v>0</v>
      </c>
      <c r="F923" s="184">
        <v>1.1958333333333329E-2</v>
      </c>
      <c r="G923" s="54">
        <v>0</v>
      </c>
      <c r="H923" s="54">
        <v>14135817000</v>
      </c>
      <c r="I923" s="66">
        <v>0</v>
      </c>
      <c r="J923" s="186">
        <v>0</v>
      </c>
    </row>
    <row r="924" spans="1:10">
      <c r="A924" s="65">
        <v>4933</v>
      </c>
      <c r="B924" s="52">
        <v>0.87</v>
      </c>
      <c r="C924" s="184">
        <v>0.40229885057471265</v>
      </c>
      <c r="D924" s="181">
        <v>77011494.25287357</v>
      </c>
      <c r="E924" s="26">
        <f>VLOOKUP(4933,季財報!$A:$H,8,0)</f>
        <v>0</v>
      </c>
      <c r="F924" s="184">
        <v>1.2033333333333333E-2</v>
      </c>
      <c r="G924" s="54">
        <v>2033103448.2758622</v>
      </c>
      <c r="H924" s="54">
        <v>3992684000</v>
      </c>
      <c r="I924" s="66">
        <v>0.5092072020414995</v>
      </c>
      <c r="J924" s="186">
        <v>18.857142857142858</v>
      </c>
    </row>
    <row r="925" spans="1:10">
      <c r="A925" s="65">
        <v>4934</v>
      </c>
      <c r="B925" s="52">
        <v>0.41</v>
      </c>
      <c r="C925" s="184">
        <v>0.21212121212121213</v>
      </c>
      <c r="D925" s="181">
        <v>317073170.73170733</v>
      </c>
      <c r="E925" s="26">
        <f>VLOOKUP(4934,季財報!$A:$H,8,0)</f>
        <v>0</v>
      </c>
      <c r="F925" s="184">
        <v>4.7274999999999991E-2</v>
      </c>
      <c r="G925" s="54">
        <v>6341463414.6341467</v>
      </c>
      <c r="H925" s="54">
        <v>7310801000</v>
      </c>
      <c r="I925" s="66">
        <v>0.86741020780543021</v>
      </c>
      <c r="J925" s="186">
        <v>50</v>
      </c>
    </row>
    <row r="926" spans="1:10">
      <c r="A926" s="65">
        <v>4935</v>
      </c>
      <c r="B926" s="52">
        <v>2.48</v>
      </c>
      <c r="C926" s="184">
        <v>0.87631027253668758</v>
      </c>
      <c r="D926" s="181">
        <v>129435483.87096775</v>
      </c>
      <c r="E926" s="26">
        <f>VLOOKUP(4935,季財報!$A:$H,8,0)</f>
        <v>0</v>
      </c>
      <c r="F926" s="184">
        <v>2.6183333333333333E-2</v>
      </c>
      <c r="G926" s="54">
        <v>9966532258.0645161</v>
      </c>
      <c r="H926" s="54">
        <v>7132965000</v>
      </c>
      <c r="I926" s="66">
        <v>1.397249567054446</v>
      </c>
      <c r="J926" s="186">
        <v>8.8577037351443142</v>
      </c>
    </row>
    <row r="927" spans="1:10">
      <c r="A927" s="65">
        <v>4938</v>
      </c>
      <c r="B927" s="52">
        <v>2.31</v>
      </c>
      <c r="C927" s="184">
        <v>0.96729147141518279</v>
      </c>
      <c r="D927" s="181">
        <v>2603463203.4632034</v>
      </c>
      <c r="E927" s="26">
        <f>VLOOKUP(4938,季財報!$A:$H,8,0)</f>
        <v>0</v>
      </c>
      <c r="F927" s="184">
        <v>8.0266666666666639E-2</v>
      </c>
      <c r="G927" s="54">
        <v>223897835497.83551</v>
      </c>
      <c r="H927" s="54">
        <v>1209035021000</v>
      </c>
      <c r="I927" s="66">
        <v>0.18518722089013459</v>
      </c>
      <c r="J927" s="186">
        <v>9.6220835005836456</v>
      </c>
    </row>
    <row r="928" spans="1:10">
      <c r="A928" s="65">
        <v>4939</v>
      </c>
      <c r="B928" s="52">
        <v>-0.31</v>
      </c>
      <c r="C928" s="184">
        <v>0.59493670886075944</v>
      </c>
      <c r="D928" s="181">
        <v>100000000</v>
      </c>
      <c r="E928" s="26">
        <f>VLOOKUP(4939,季財報!$A:$H,8,0)</f>
        <v>0</v>
      </c>
      <c r="F928" s="184">
        <v>-2.7166666666666693E-3</v>
      </c>
      <c r="G928" s="54">
        <v>800000000</v>
      </c>
      <c r="H928" s="54">
        <v>1611353000</v>
      </c>
      <c r="I928" s="66">
        <v>0.49647718408070735</v>
      </c>
      <c r="J928" s="186">
        <v>0</v>
      </c>
    </row>
    <row r="929" spans="1:11">
      <c r="A929" s="65">
        <v>4942</v>
      </c>
      <c r="B929" s="52">
        <v>-2.27</v>
      </c>
      <c r="C929" s="184">
        <v>0.54025974025974022</v>
      </c>
      <c r="D929" s="181">
        <v>152422907.48898679</v>
      </c>
      <c r="E929" s="26">
        <f>VLOOKUP(4942,季財報!$A:$H,8,0)</f>
        <v>0</v>
      </c>
      <c r="F929" s="184">
        <v>-1.0924999999999995E-2</v>
      </c>
      <c r="G929" s="54">
        <v>3536211453.7444935</v>
      </c>
      <c r="H929" s="54">
        <v>7378827000</v>
      </c>
      <c r="I929" s="66">
        <v>0.47923761510393093</v>
      </c>
      <c r="J929" s="186">
        <v>0</v>
      </c>
    </row>
    <row r="930" spans="1:11">
      <c r="A930" s="65">
        <v>4944</v>
      </c>
      <c r="B930" s="52">
        <v>-0.96</v>
      </c>
      <c r="C930" s="184">
        <v>0.99692307692307691</v>
      </c>
      <c r="D930" s="181">
        <v>210416666.66666669</v>
      </c>
      <c r="E930" s="26">
        <f>VLOOKUP(4944,季財報!$A:$H,8,0)</f>
        <v>0</v>
      </c>
      <c r="F930" s="184">
        <v>-6.1416666666666677E-3</v>
      </c>
      <c r="G930" s="54">
        <v>2577604166.666667</v>
      </c>
      <c r="H930" s="54">
        <v>2215737000</v>
      </c>
      <c r="I930" s="66">
        <v>1.1633168407020631</v>
      </c>
      <c r="J930" s="186">
        <v>0</v>
      </c>
    </row>
    <row r="931" spans="1:11">
      <c r="A931" s="65">
        <v>4946</v>
      </c>
      <c r="B931" s="52">
        <v>-4.76</v>
      </c>
      <c r="C931" s="184">
        <v>0.40104166666666669</v>
      </c>
      <c r="D931" s="181">
        <v>27310924.369747899</v>
      </c>
      <c r="E931" s="26">
        <f>VLOOKUP(4946,季財報!$A:$H,8,0)</f>
        <v>0</v>
      </c>
      <c r="F931" s="184">
        <v>-3.5791666666666673E-2</v>
      </c>
      <c r="G931" s="54">
        <v>987289915.96638656</v>
      </c>
      <c r="H931" s="54">
        <v>502311000</v>
      </c>
      <c r="I931" s="66">
        <v>1.9654953125979453</v>
      </c>
      <c r="J931" s="186">
        <v>0</v>
      </c>
    </row>
    <row r="932" spans="1:11">
      <c r="A932" s="65">
        <v>4947</v>
      </c>
      <c r="B932" s="52">
        <v>4.32</v>
      </c>
      <c r="C932" s="184">
        <v>0.83333333333333337</v>
      </c>
      <c r="D932" s="181">
        <v>44444444.44444444</v>
      </c>
      <c r="E932" s="26">
        <f>VLOOKUP(4947,季財報!$A:$H,8,0)</f>
        <v>0</v>
      </c>
      <c r="F932" s="184">
        <v>3.5741666666666665E-2</v>
      </c>
      <c r="G932" s="54">
        <v>9311111111.1111107</v>
      </c>
      <c r="H932" s="54">
        <v>3009799000</v>
      </c>
      <c r="I932" s="66">
        <v>3.0935989782411086</v>
      </c>
      <c r="J932" s="186">
        <v>14.548611111111109</v>
      </c>
    </row>
    <row r="933" spans="1:11">
      <c r="A933" s="65">
        <v>4950</v>
      </c>
      <c r="B933" s="52">
        <v>1.65</v>
      </c>
      <c r="C933" s="184">
        <v>0</v>
      </c>
      <c r="D933" s="181">
        <v>52121212.121212125</v>
      </c>
      <c r="E933" s="26">
        <f>VLOOKUP(4950,季財報!$A:$H,8,0)</f>
        <v>0</v>
      </c>
      <c r="F933" s="184">
        <v>0.24828333333333333</v>
      </c>
      <c r="G933" s="54">
        <v>953818181.81818187</v>
      </c>
      <c r="H933" s="54">
        <v>310493000</v>
      </c>
      <c r="I933" s="66">
        <v>3.0719474571670919</v>
      </c>
      <c r="J933" s="186">
        <v>0</v>
      </c>
    </row>
    <row r="934" spans="1:11">
      <c r="A934" s="65">
        <v>4952</v>
      </c>
      <c r="B934" s="52">
        <v>1.24</v>
      </c>
      <c r="C934" s="184">
        <v>0.92105263157894735</v>
      </c>
      <c r="D934" s="181">
        <v>108870967.74193549</v>
      </c>
      <c r="E934" s="26">
        <f>VLOOKUP(4952,季財報!$A:$H,8,0)</f>
        <v>0</v>
      </c>
      <c r="F934" s="184">
        <v>4.8916666666666671E-2</v>
      </c>
      <c r="G934" s="54">
        <v>4490927419.3548393</v>
      </c>
      <c r="H934" s="54">
        <v>3038349000</v>
      </c>
      <c r="I934" s="66">
        <v>1.4780814907552882</v>
      </c>
      <c r="J934" s="186">
        <v>9.029377880184331</v>
      </c>
    </row>
    <row r="935" spans="1:11">
      <c r="A935" s="65">
        <v>4953</v>
      </c>
      <c r="B935" s="52">
        <v>0.32</v>
      </c>
      <c r="C935" s="184">
        <v>0.3611111111111111</v>
      </c>
      <c r="D935" s="181">
        <v>43750000</v>
      </c>
      <c r="E935" s="26">
        <f>VLOOKUP(4953,季財報!$A:$H,8,0)</f>
        <v>0</v>
      </c>
      <c r="F935" s="184">
        <v>-7.9166666666666656E-3</v>
      </c>
      <c r="G935" s="54">
        <v>966875000.00000012</v>
      </c>
      <c r="H935" s="54">
        <v>2544415000</v>
      </c>
      <c r="I935" s="66">
        <v>0.3799989388523492</v>
      </c>
      <c r="J935" s="186">
        <v>47.812500000000007</v>
      </c>
    </row>
    <row r="936" spans="1:11">
      <c r="A936" s="65">
        <v>4956</v>
      </c>
      <c r="B936" s="52">
        <v>0.25</v>
      </c>
      <c r="C936" s="184">
        <v>0.47222222222222221</v>
      </c>
      <c r="D936" s="181">
        <v>100000000</v>
      </c>
      <c r="E936" s="26">
        <f>VLOOKUP(4956,季財報!$A:$H,8,0)</f>
        <v>0</v>
      </c>
      <c r="F936" s="184">
        <v>-3.4666666666666682E-3</v>
      </c>
      <c r="G936" s="54">
        <v>1165000000</v>
      </c>
      <c r="H936" s="54">
        <v>1449605000</v>
      </c>
      <c r="I936" s="66">
        <v>0.80366720589401941</v>
      </c>
      <c r="J936" s="186">
        <v>24.670588235294119</v>
      </c>
    </row>
    <row r="937" spans="1:11">
      <c r="A937" s="65">
        <v>4958</v>
      </c>
      <c r="B937" s="52">
        <v>2.67</v>
      </c>
      <c r="C937" s="184">
        <v>0.92480998914223667</v>
      </c>
      <c r="D937" s="181">
        <v>805617977.52808988</v>
      </c>
      <c r="E937" s="26">
        <f>VLOOKUP(4958,季財報!$A:$H,8,0)</f>
        <v>0</v>
      </c>
      <c r="F937" s="184">
        <v>5.1650000000000001E-2</v>
      </c>
      <c r="G937" s="54">
        <v>76614269662.921341</v>
      </c>
      <c r="H937" s="54">
        <v>87215751000</v>
      </c>
      <c r="I937" s="66">
        <v>0.87844533567017435</v>
      </c>
      <c r="J937" s="186">
        <v>9.6284582633903106</v>
      </c>
    </row>
    <row r="938" spans="1:11">
      <c r="A938" s="65">
        <v>4960</v>
      </c>
      <c r="B938" s="52">
        <v>0.61</v>
      </c>
      <c r="C938" s="184">
        <v>0.90322580645161288</v>
      </c>
      <c r="D938" s="181">
        <v>519672131.14754099</v>
      </c>
      <c r="E938" s="26">
        <f>VLOOKUP(4960,季財報!$A:$H,8,0)</f>
        <v>0</v>
      </c>
      <c r="F938" s="184">
        <v>-4.5666666666666642E-3</v>
      </c>
      <c r="G938" s="54">
        <v>11328852459.016394</v>
      </c>
      <c r="H938" s="54">
        <v>13233124000</v>
      </c>
      <c r="I938" s="66">
        <v>0.85609811099906519</v>
      </c>
      <c r="J938" s="186">
        <v>9.8916861826697904</v>
      </c>
    </row>
    <row r="939" spans="1:11">
      <c r="A939" s="65">
        <v>4965</v>
      </c>
      <c r="B939" s="52">
        <v>0.47</v>
      </c>
      <c r="C939" s="184">
        <v>0.90909090909090906</v>
      </c>
      <c r="D939" s="181">
        <v>21276595.744680852</v>
      </c>
      <c r="E939" s="26">
        <f>VLOOKUP(4965,季財報!$A:$H,8,0)</f>
        <v>0</v>
      </c>
      <c r="F939" s="184">
        <v>3.9983333333333329E-2</v>
      </c>
      <c r="G939" s="54">
        <v>2478723404.2553191</v>
      </c>
      <c r="H939" s="54">
        <v>1292986000</v>
      </c>
      <c r="I939" s="66">
        <v>1.917053552208082</v>
      </c>
      <c r="J939" s="186">
        <v>50</v>
      </c>
    </row>
    <row r="940" spans="1:11">
      <c r="A940" s="65">
        <v>4966</v>
      </c>
      <c r="B940" s="52">
        <v>4.28</v>
      </c>
      <c r="C940" s="184">
        <v>0.95439189189189189</v>
      </c>
      <c r="D940" s="181">
        <v>75000000</v>
      </c>
      <c r="E940" s="26">
        <f>VLOOKUP(4966,季財報!$A:$H,8,0)</f>
        <v>0</v>
      </c>
      <c r="F940" s="184">
        <v>3.1658333333333337E-2</v>
      </c>
      <c r="G940" s="54">
        <v>17175000000</v>
      </c>
      <c r="H940" s="54">
        <v>6845015000</v>
      </c>
      <c r="I940" s="66">
        <v>2.5091252539256672</v>
      </c>
      <c r="J940" s="186">
        <v>14.015383342982382</v>
      </c>
    </row>
    <row r="941" spans="1:11">
      <c r="A941" s="65">
        <v>4971</v>
      </c>
      <c r="B941" s="52">
        <v>0.48</v>
      </c>
      <c r="C941" s="184">
        <v>1</v>
      </c>
      <c r="D941" s="181">
        <v>33333333.333333336</v>
      </c>
      <c r="E941" s="26">
        <f>VLOOKUP(4971,季財報!$A:$H,8,0)</f>
        <v>0</v>
      </c>
      <c r="F941" s="184">
        <v>2.863333333333333E-2</v>
      </c>
      <c r="G941" s="54">
        <v>3650000000.0000005</v>
      </c>
      <c r="H941" s="54">
        <v>858267000</v>
      </c>
      <c r="I941" s="66">
        <v>4.25275584404387</v>
      </c>
      <c r="J941" s="186">
        <v>50</v>
      </c>
      <c r="K941" s="32"/>
    </row>
    <row r="942" spans="1:11">
      <c r="A942" s="65">
        <v>4972</v>
      </c>
      <c r="B942" s="52">
        <v>1.37</v>
      </c>
      <c r="C942" s="184">
        <v>0.71111111111111114</v>
      </c>
      <c r="D942" s="181">
        <v>37956204.379562043</v>
      </c>
      <c r="E942" s="26">
        <f>VLOOKUP(4972,季財報!$A:$H,8,0)</f>
        <v>0</v>
      </c>
      <c r="F942" s="184">
        <v>2.9983333333333334E-2</v>
      </c>
      <c r="G942" s="54">
        <v>1449927007.2992702</v>
      </c>
      <c r="H942" s="54">
        <v>1297228000</v>
      </c>
      <c r="I942" s="66">
        <v>1.1177117725637051</v>
      </c>
      <c r="J942" s="186">
        <v>9.8026916058394153</v>
      </c>
    </row>
    <row r="943" spans="1:11">
      <c r="A943" s="65">
        <v>4973</v>
      </c>
      <c r="B943" s="52">
        <v>0.31</v>
      </c>
      <c r="C943" s="184">
        <v>1</v>
      </c>
      <c r="D943" s="181">
        <v>64516129.032258064</v>
      </c>
      <c r="E943" s="26">
        <f>VLOOKUP(4973,季財報!$A:$H,8,0)</f>
        <v>0</v>
      </c>
      <c r="F943" s="184">
        <v>-3.4891666666666661E-2</v>
      </c>
      <c r="G943" s="54">
        <v>1041935483.8709676</v>
      </c>
      <c r="H943" s="54">
        <v>5814155000</v>
      </c>
      <c r="I943" s="66">
        <v>0.17920669192186442</v>
      </c>
      <c r="J943" s="186">
        <v>13.024193548387096</v>
      </c>
    </row>
    <row r="944" spans="1:11">
      <c r="A944" s="65">
        <v>4974</v>
      </c>
      <c r="B944" s="52">
        <v>1.4</v>
      </c>
      <c r="C944" s="184">
        <v>0.84615384615384615</v>
      </c>
      <c r="D944" s="181">
        <v>62142857.142857149</v>
      </c>
      <c r="E944" s="26">
        <f>VLOOKUP(4974,季財報!$A:$H,8,0)</f>
        <v>0</v>
      </c>
      <c r="F944" s="184">
        <v>6.0791666666666661E-2</v>
      </c>
      <c r="G944" s="54">
        <v>2578928571.4285717</v>
      </c>
      <c r="H944" s="54">
        <v>3609052000</v>
      </c>
      <c r="I944" s="66">
        <v>0.71457229528102439</v>
      </c>
      <c r="J944" s="186">
        <v>8.7581168831168839</v>
      </c>
    </row>
    <row r="945" spans="1:10">
      <c r="A945" s="65">
        <v>4976</v>
      </c>
      <c r="B945" s="52">
        <v>-0.06</v>
      </c>
      <c r="C945" s="184">
        <v>1</v>
      </c>
      <c r="D945" s="181">
        <v>100000000</v>
      </c>
      <c r="E945" s="26">
        <f>VLOOKUP(4976,季財報!$A:$H,8,0)</f>
        <v>0</v>
      </c>
      <c r="F945" s="184">
        <v>4.4999999999999991E-2</v>
      </c>
      <c r="G945" s="54">
        <v>1614999999.9999998</v>
      </c>
      <c r="H945" s="54">
        <v>1374574000</v>
      </c>
      <c r="I945" s="66">
        <v>1.1749094628590384</v>
      </c>
      <c r="J945" s="186">
        <v>0</v>
      </c>
    </row>
    <row r="946" spans="1:10">
      <c r="A946" s="65">
        <v>4977</v>
      </c>
      <c r="B946" s="52">
        <v>1.26</v>
      </c>
      <c r="C946" s="184">
        <v>0.79487179487179482</v>
      </c>
      <c r="D946" s="181">
        <v>52380952.380952381</v>
      </c>
      <c r="E946" s="26">
        <f>VLOOKUP(4977,季財報!$A:$H,8,0)</f>
        <v>0</v>
      </c>
      <c r="F946" s="184">
        <v>1.3775000000000001E-2</v>
      </c>
      <c r="G946" s="54">
        <v>3169047619.0476189</v>
      </c>
      <c r="H946" s="54">
        <v>1741695000</v>
      </c>
      <c r="I946" s="66">
        <v>1.8195192723453986</v>
      </c>
      <c r="J946" s="186">
        <v>15.101766513056836</v>
      </c>
    </row>
    <row r="947" spans="1:10">
      <c r="A947" s="65">
        <v>4979</v>
      </c>
      <c r="B947" s="52">
        <v>2.46</v>
      </c>
      <c r="C947" s="184">
        <v>0.85172413793103452</v>
      </c>
      <c r="D947" s="181">
        <v>73577235.772357732</v>
      </c>
      <c r="E947" s="26">
        <f>VLOOKUP(4979,季財報!$A:$H,8,0)</f>
        <v>0</v>
      </c>
      <c r="F947" s="184">
        <v>3.8324999999999991E-2</v>
      </c>
      <c r="G947" s="54">
        <v>5886178861.7886181</v>
      </c>
      <c r="H947" s="54">
        <v>4001004000</v>
      </c>
      <c r="I947" s="66">
        <v>1.4711754504091019</v>
      </c>
      <c r="J947" s="186">
        <v>9.5454395839504951</v>
      </c>
    </row>
    <row r="948" spans="1:10">
      <c r="A948" s="65">
        <v>4984</v>
      </c>
      <c r="B948" s="52">
        <v>1.49</v>
      </c>
      <c r="C948" s="184">
        <v>0.75862068965517238</v>
      </c>
      <c r="D948" s="181">
        <v>45637583.892617449</v>
      </c>
      <c r="E948" s="26">
        <f>VLOOKUP(4984,季財報!$A:$H,8,0)</f>
        <v>0</v>
      </c>
      <c r="F948" s="184">
        <v>3.1083333333333334E-2</v>
      </c>
      <c r="G948" s="54">
        <v>1871140939.5973153</v>
      </c>
      <c r="H948" s="54">
        <v>1198763000</v>
      </c>
      <c r="I948" s="66">
        <v>1.5608931370064936</v>
      </c>
      <c r="J948" s="186">
        <v>9.0680292861500913</v>
      </c>
    </row>
    <row r="949" spans="1:10">
      <c r="A949" s="65">
        <v>4987</v>
      </c>
      <c r="B949" s="52">
        <v>2.94</v>
      </c>
      <c r="C949" s="184">
        <v>0.79487179487179482</v>
      </c>
      <c r="D949" s="181">
        <v>25170068.027210884</v>
      </c>
      <c r="E949" s="26">
        <f>VLOOKUP(4987,季財報!$A:$H,8,0)</f>
        <v>0</v>
      </c>
      <c r="F949" s="184">
        <v>-9.6833333333333303E-3</v>
      </c>
      <c r="G949" s="54">
        <v>2079047619.0476189</v>
      </c>
      <c r="H949" s="54">
        <v>1150878000</v>
      </c>
      <c r="I949" s="66">
        <v>1.8064882802934967</v>
      </c>
      <c r="J949" s="186">
        <v>8.8364055299539164</v>
      </c>
    </row>
    <row r="950" spans="1:10">
      <c r="A950" s="65">
        <v>4991</v>
      </c>
      <c r="B950" s="52">
        <v>1.94</v>
      </c>
      <c r="C950" s="184">
        <v>0.88198757763975155</v>
      </c>
      <c r="D950" s="181">
        <v>56185567.010309279</v>
      </c>
      <c r="E950" s="26">
        <f>VLOOKUP(4991,季財報!$A:$H,8,0)</f>
        <v>0</v>
      </c>
      <c r="F950" s="184">
        <v>4.3991666666666672E-2</v>
      </c>
      <c r="G950" s="54">
        <v>4073453608.2474227</v>
      </c>
      <c r="H950" s="54">
        <v>1575323000</v>
      </c>
      <c r="I950" s="66">
        <v>2.5857894592076818</v>
      </c>
      <c r="J950" s="186">
        <v>10.592874255844345</v>
      </c>
    </row>
    <row r="951" spans="1:10">
      <c r="A951" s="65">
        <v>4994</v>
      </c>
      <c r="B951" s="52">
        <v>0.43</v>
      </c>
      <c r="C951" s="184">
        <v>0</v>
      </c>
      <c r="D951" s="181">
        <v>111627906.97674419</v>
      </c>
      <c r="E951" s="26">
        <f>VLOOKUP(4994,季財報!$A:$H,8,0)</f>
        <v>0</v>
      </c>
      <c r="F951" s="184">
        <v>4.000000000000001E-3</v>
      </c>
      <c r="G951" s="54">
        <v>9209302325.5813961</v>
      </c>
      <c r="H951" s="54">
        <v>1308583000</v>
      </c>
      <c r="I951" s="66">
        <v>7.0376142175019822</v>
      </c>
      <c r="J951" s="186">
        <v>0</v>
      </c>
    </row>
    <row r="952" spans="1:10">
      <c r="A952" s="65">
        <v>4995</v>
      </c>
      <c r="B952" s="52">
        <v>0.75</v>
      </c>
      <c r="C952" s="184">
        <v>0.76923076923076927</v>
      </c>
      <c r="D952" s="181">
        <v>34666666.666666664</v>
      </c>
      <c r="E952" s="26">
        <f>VLOOKUP(4995,季財報!$A:$H,8,0)</f>
        <v>0</v>
      </c>
      <c r="F952" s="184">
        <v>8.891666666666664E-3</v>
      </c>
      <c r="G952" s="54">
        <v>1372800000</v>
      </c>
      <c r="H952" s="54">
        <v>813586000</v>
      </c>
      <c r="I952" s="66">
        <v>1.6873446691560572</v>
      </c>
      <c r="J952" s="186">
        <v>17.16</v>
      </c>
    </row>
    <row r="953" spans="1:10">
      <c r="A953" s="65">
        <v>4999</v>
      </c>
      <c r="B953" s="52">
        <v>2.06</v>
      </c>
      <c r="C953" s="184">
        <v>0.76328502415458932</v>
      </c>
      <c r="D953" s="181">
        <v>74271844.660194173</v>
      </c>
      <c r="E953" s="26">
        <f>VLOOKUP(4999,季財報!$A:$H,8,0)</f>
        <v>0</v>
      </c>
      <c r="F953" s="184">
        <v>1.2375000000000002E-2</v>
      </c>
      <c r="G953" s="54">
        <v>3483349514.5631065</v>
      </c>
      <c r="H953" s="54">
        <v>2163562000</v>
      </c>
      <c r="I953" s="66">
        <v>1.6100067918382308</v>
      </c>
      <c r="J953" s="186">
        <v>7.4569097947646563</v>
      </c>
    </row>
    <row r="954" spans="1:10">
      <c r="A954" s="65">
        <v>5007</v>
      </c>
      <c r="B954" s="52">
        <v>0.78</v>
      </c>
      <c r="C954" s="184">
        <v>0.81880733944954132</v>
      </c>
      <c r="D954" s="181">
        <v>296153846.15384614</v>
      </c>
      <c r="E954" s="26">
        <f>VLOOKUP(5007,季財報!$A:$H,8,0)</f>
        <v>0</v>
      </c>
      <c r="F954" s="184">
        <v>-3.0083333333333329E-3</v>
      </c>
      <c r="G954" s="54">
        <v>18894615384.615383</v>
      </c>
      <c r="H954" s="54">
        <v>6772366000</v>
      </c>
      <c r="I954" s="66">
        <v>2.7899578056790468</v>
      </c>
      <c r="J954" s="186">
        <v>24.973784385549092</v>
      </c>
    </row>
    <row r="955" spans="1:10">
      <c r="A955" s="65">
        <v>5009</v>
      </c>
      <c r="B955" s="52">
        <v>0.61</v>
      </c>
      <c r="C955" s="184">
        <v>0.9040178571428571</v>
      </c>
      <c r="D955" s="181">
        <v>442622950.81967217</v>
      </c>
      <c r="E955" s="26">
        <f>VLOOKUP(5009,季財報!$A:$H,8,0)</f>
        <v>0</v>
      </c>
      <c r="F955" s="184">
        <v>-2.0941666666666667E-2</v>
      </c>
      <c r="G955" s="54">
        <v>7768032786.8852472</v>
      </c>
      <c r="H955" s="54">
        <v>11479236000</v>
      </c>
      <c r="I955" s="66">
        <v>0.67670294319981283</v>
      </c>
      <c r="J955" s="186">
        <v>7.9562841530054662</v>
      </c>
    </row>
    <row r="956" spans="1:10">
      <c r="A956" s="65">
        <v>5011</v>
      </c>
      <c r="B956" s="52">
        <v>0.28000000000000003</v>
      </c>
      <c r="C956" s="184">
        <v>0.63157894736842102</v>
      </c>
      <c r="D956" s="181">
        <v>35714285.714285709</v>
      </c>
      <c r="E956" s="26">
        <f>VLOOKUP(5011,季財報!$A:$H,8,0)</f>
        <v>0</v>
      </c>
      <c r="F956" s="184">
        <v>4.1224999999999991E-2</v>
      </c>
      <c r="G956" s="54">
        <v>896428571.42857134</v>
      </c>
      <c r="H956" s="54">
        <v>936585000</v>
      </c>
      <c r="I956" s="66">
        <v>0.95712462982918944</v>
      </c>
      <c r="J956" s="186">
        <v>35.483630952380949</v>
      </c>
    </row>
    <row r="957" spans="1:10">
      <c r="A957" s="65">
        <v>5013</v>
      </c>
      <c r="B957" s="52">
        <v>0.47</v>
      </c>
      <c r="C957" s="184">
        <v>1</v>
      </c>
      <c r="D957" s="181">
        <v>110638297.87234043</v>
      </c>
      <c r="E957" s="26">
        <f>VLOOKUP(5013,季財報!$A:$H,8,0)</f>
        <v>0</v>
      </c>
      <c r="F957" s="184">
        <v>8.5499999999999934E-3</v>
      </c>
      <c r="G957" s="54">
        <v>1770212765.9574468</v>
      </c>
      <c r="H957" s="54">
        <v>5258931000</v>
      </c>
      <c r="I957" s="66">
        <v>0.33661076100018172</v>
      </c>
      <c r="J957" s="186">
        <v>8.5106382978723403</v>
      </c>
    </row>
    <row r="958" spans="1:10">
      <c r="A958" s="65">
        <v>5014</v>
      </c>
      <c r="B958" s="52">
        <v>-0.64</v>
      </c>
      <c r="C958" s="184">
        <v>0.33606557377049179</v>
      </c>
      <c r="D958" s="181">
        <v>165625000</v>
      </c>
      <c r="E958" s="26">
        <f>VLOOKUP(5014,季財報!$A:$H,8,0)</f>
        <v>0</v>
      </c>
      <c r="F958" s="184">
        <v>7.9341666666666658E-2</v>
      </c>
      <c r="G958" s="54">
        <v>1162687500</v>
      </c>
      <c r="H958" s="54">
        <v>14612514000</v>
      </c>
      <c r="I958" s="66">
        <v>7.9567930610708049E-2</v>
      </c>
      <c r="J958" s="186">
        <v>0</v>
      </c>
    </row>
    <row r="959" spans="1:10">
      <c r="A959" s="65">
        <v>5015</v>
      </c>
      <c r="B959" s="52">
        <v>1.04</v>
      </c>
      <c r="C959" s="184">
        <v>0.81481481481481477</v>
      </c>
      <c r="D959" s="181">
        <v>60576923.076923072</v>
      </c>
      <c r="E959" s="26">
        <f>VLOOKUP(5015,季財報!$A:$H,8,0)</f>
        <v>0</v>
      </c>
      <c r="F959" s="184">
        <v>2.5858333333333341E-2</v>
      </c>
      <c r="G959" s="54">
        <v>1047980769.2307692</v>
      </c>
      <c r="H959" s="54">
        <v>2119110000</v>
      </c>
      <c r="I959" s="66">
        <v>0.49453816424384256</v>
      </c>
      <c r="J959" s="186">
        <v>5.1038024475524475</v>
      </c>
    </row>
    <row r="960" spans="1:10">
      <c r="A960" s="65">
        <v>5016</v>
      </c>
      <c r="B960" s="52">
        <v>0.48</v>
      </c>
      <c r="C960" s="184">
        <v>1</v>
      </c>
      <c r="D960" s="181">
        <v>50000000</v>
      </c>
      <c r="E960" s="26">
        <f>VLOOKUP(5016,季財報!$A:$H,8,0)</f>
        <v>0</v>
      </c>
      <c r="F960" s="184">
        <v>9.5833333333333187E-4</v>
      </c>
      <c r="G960" s="54">
        <v>1190000000</v>
      </c>
      <c r="H960" s="54">
        <v>2299784000</v>
      </c>
      <c r="I960" s="66">
        <v>0.51743989870353047</v>
      </c>
      <c r="J960" s="186">
        <v>12.395833333333334</v>
      </c>
    </row>
    <row r="961" spans="1:10">
      <c r="A961" s="65">
        <v>5102</v>
      </c>
      <c r="B961" s="52">
        <v>0.24</v>
      </c>
      <c r="C961" s="184">
        <v>0.8</v>
      </c>
      <c r="D961" s="181">
        <v>66666666.666666672</v>
      </c>
      <c r="E961" s="26">
        <f>VLOOKUP(5102,季財報!$A:$H,8,0)</f>
        <v>0</v>
      </c>
      <c r="F961" s="184">
        <v>-1.545E-2</v>
      </c>
      <c r="G961" s="54">
        <v>970000000.00000012</v>
      </c>
      <c r="H961" s="54">
        <v>832434000</v>
      </c>
      <c r="I961" s="66">
        <v>1.1652575459435826</v>
      </c>
      <c r="J961" s="186">
        <v>18.9453125</v>
      </c>
    </row>
    <row r="962" spans="1:10">
      <c r="A962" s="65">
        <v>5201</v>
      </c>
      <c r="B962" s="52">
        <v>0.62</v>
      </c>
      <c r="C962" s="184">
        <v>0</v>
      </c>
      <c r="D962" s="181">
        <v>29032258.064516131</v>
      </c>
      <c r="E962" s="26">
        <f>VLOOKUP(5201,季財報!$A:$H,8,0)</f>
        <v>0</v>
      </c>
      <c r="F962" s="184">
        <v>5.2475000000000001E-2</v>
      </c>
      <c r="G962" s="54">
        <v>381774193.54838711</v>
      </c>
      <c r="H962" s="54">
        <v>262858000</v>
      </c>
      <c r="I962" s="66">
        <v>1.4523970872044492</v>
      </c>
      <c r="J962" s="186">
        <v>0</v>
      </c>
    </row>
    <row r="963" spans="1:10">
      <c r="A963" s="65">
        <v>5202</v>
      </c>
      <c r="B963" s="52">
        <v>0.09</v>
      </c>
      <c r="C963" s="184">
        <v>0</v>
      </c>
      <c r="D963" s="181">
        <v>55555555.55555556</v>
      </c>
      <c r="E963" s="26">
        <f>VLOOKUP(5202,季財報!$A:$H,8,0)</f>
        <v>0</v>
      </c>
      <c r="F963" s="184">
        <v>5.944166666666665E-2</v>
      </c>
      <c r="G963" s="54">
        <v>791666666.66666675</v>
      </c>
      <c r="H963" s="54">
        <v>280261000</v>
      </c>
      <c r="I963" s="66">
        <v>2.8247478838178224</v>
      </c>
      <c r="J963" s="186">
        <v>0</v>
      </c>
    </row>
    <row r="964" spans="1:10">
      <c r="A964" s="65">
        <v>5203</v>
      </c>
      <c r="B964" s="52">
        <v>1.66</v>
      </c>
      <c r="C964" s="184">
        <v>0.67123287671232879</v>
      </c>
      <c r="D964" s="181">
        <v>100000000</v>
      </c>
      <c r="E964" s="26">
        <f>VLOOKUP(5203,季財報!$A:$H,8,0)</f>
        <v>0</v>
      </c>
      <c r="F964" s="184">
        <v>7.5933333333333339E-2</v>
      </c>
      <c r="G964" s="54">
        <v>7180000000</v>
      </c>
      <c r="H964" s="54">
        <v>1961033000</v>
      </c>
      <c r="I964" s="66">
        <v>3.6613356328016917</v>
      </c>
      <c r="J964" s="186">
        <v>16.109540201622817</v>
      </c>
    </row>
    <row r="965" spans="1:10">
      <c r="A965" s="65">
        <v>5205</v>
      </c>
      <c r="B965" s="52">
        <v>-0.2</v>
      </c>
      <c r="C965" s="184">
        <v>1</v>
      </c>
      <c r="D965" s="181">
        <v>15000000</v>
      </c>
      <c r="E965" s="26">
        <f>VLOOKUP(5205,季財報!$A:$H,8,0)</f>
        <v>0</v>
      </c>
      <c r="F965" s="184">
        <v>1.8261083333333332</v>
      </c>
      <c r="G965" s="54">
        <v>0</v>
      </c>
      <c r="H965" s="54">
        <v>3108000</v>
      </c>
      <c r="I965" s="66">
        <v>0</v>
      </c>
      <c r="J965" s="186">
        <v>0</v>
      </c>
    </row>
    <row r="966" spans="1:10">
      <c r="A966" s="65">
        <v>5206</v>
      </c>
      <c r="B966" s="52">
        <v>1.05</v>
      </c>
      <c r="C966" s="184">
        <v>0.94117647058823528</v>
      </c>
      <c r="D966" s="181">
        <v>150476190.47619048</v>
      </c>
      <c r="E966" s="26">
        <f>VLOOKUP(5206,季財報!$A:$H,8,0)</f>
        <v>0</v>
      </c>
      <c r="F966" s="184">
        <v>4.0257999999999994</v>
      </c>
      <c r="G966" s="54">
        <v>1790666666.6666667</v>
      </c>
      <c r="H966" s="54">
        <v>1520707000</v>
      </c>
      <c r="I966" s="66">
        <v>1.1775224725516926</v>
      </c>
      <c r="J966" s="186">
        <v>3.0104166666666665</v>
      </c>
    </row>
    <row r="967" spans="1:10">
      <c r="A967" s="65">
        <v>5209</v>
      </c>
      <c r="B967" s="52">
        <v>0.87</v>
      </c>
      <c r="C967" s="184">
        <v>0.67500000000000004</v>
      </c>
      <c r="D967" s="181">
        <v>24137931.034482758</v>
      </c>
      <c r="E967" s="26">
        <f>VLOOKUP(5209,季財報!$A:$H,8,0)</f>
        <v>0</v>
      </c>
      <c r="F967" s="184">
        <v>1.8183333333333329E-2</v>
      </c>
      <c r="G967" s="54">
        <v>1018620689.6551725</v>
      </c>
      <c r="H967" s="54">
        <v>1537435000</v>
      </c>
      <c r="I967" s="66">
        <v>0.66254553178194364</v>
      </c>
      <c r="J967" s="186">
        <v>17.96509152830992</v>
      </c>
    </row>
    <row r="968" spans="1:10">
      <c r="A968" s="65">
        <v>5210</v>
      </c>
      <c r="B968" s="52">
        <v>-0.3</v>
      </c>
      <c r="C968" s="184">
        <v>0</v>
      </c>
      <c r="D968" s="181">
        <v>66666666.666666672</v>
      </c>
      <c r="E968" s="26">
        <f>VLOOKUP(5210,季財報!$A:$H,8,0)</f>
        <v>0</v>
      </c>
      <c r="F968" s="184">
        <v>9.1591666666666641E-2</v>
      </c>
      <c r="G968" s="54">
        <v>470000000</v>
      </c>
      <c r="H968" s="54">
        <v>314575000</v>
      </c>
      <c r="I968" s="66">
        <v>1.4940793133592942</v>
      </c>
      <c r="J968" s="186">
        <v>0</v>
      </c>
    </row>
    <row r="969" spans="1:10">
      <c r="A969" s="65">
        <v>5211</v>
      </c>
      <c r="B969" s="52">
        <v>0.19</v>
      </c>
      <c r="C969" s="184">
        <v>0.5</v>
      </c>
      <c r="D969" s="181">
        <v>31578947.368421052</v>
      </c>
      <c r="E969" s="26">
        <f>VLOOKUP(5211,季財報!$A:$H,8,0)</f>
        <v>0</v>
      </c>
      <c r="F969" s="184">
        <v>-5.4749999999999998E-3</v>
      </c>
      <c r="G969" s="54">
        <v>732631578.94736838</v>
      </c>
      <c r="H969" s="54">
        <v>265842000</v>
      </c>
      <c r="I969" s="66">
        <v>2.7558910140134683</v>
      </c>
      <c r="J969" s="186">
        <v>50</v>
      </c>
    </row>
    <row r="970" spans="1:10">
      <c r="A970" s="65">
        <v>5212</v>
      </c>
      <c r="B970" s="52">
        <v>0.45</v>
      </c>
      <c r="C970" s="184">
        <v>1</v>
      </c>
      <c r="D970" s="181">
        <v>35555555.555555552</v>
      </c>
      <c r="E970" s="26">
        <f>VLOOKUP(5212,季財報!$A:$H,8,0)</f>
        <v>0</v>
      </c>
      <c r="F970" s="184">
        <v>8.5666666666666669E-2</v>
      </c>
      <c r="G970" s="54">
        <v>746666666.66666663</v>
      </c>
      <c r="H970" s="54">
        <v>644994000</v>
      </c>
      <c r="I970" s="66">
        <v>1.1576335077018804</v>
      </c>
      <c r="J970" s="186">
        <v>11.666666666666666</v>
      </c>
    </row>
    <row r="971" spans="1:10">
      <c r="A971" s="65">
        <v>5213</v>
      </c>
      <c r="B971" s="52">
        <v>-0.22</v>
      </c>
      <c r="C971" s="184">
        <v>0</v>
      </c>
      <c r="D971" s="181">
        <v>377272727.27272725</v>
      </c>
      <c r="E971" s="26">
        <f>VLOOKUP(5213,季財報!$A:$H,8,0)</f>
        <v>0</v>
      </c>
      <c r="F971" s="184">
        <v>6.7031083333333337</v>
      </c>
      <c r="G971" s="54">
        <v>5696818181.818181</v>
      </c>
      <c r="H971" s="54">
        <v>4011761000</v>
      </c>
      <c r="I971" s="66">
        <v>1.4200293042925989</v>
      </c>
      <c r="J971" s="186">
        <v>0</v>
      </c>
    </row>
    <row r="972" spans="1:10">
      <c r="A972" s="65">
        <v>5215</v>
      </c>
      <c r="B972" s="52">
        <v>1.26</v>
      </c>
      <c r="C972" s="184">
        <v>0.61111111111111116</v>
      </c>
      <c r="D972" s="181">
        <v>53968253.96825397</v>
      </c>
      <c r="E972" s="26">
        <f>VLOOKUP(5215,季財報!$A:$H,8,0)</f>
        <v>0</v>
      </c>
      <c r="F972" s="184">
        <v>5.2566666666666657E-2</v>
      </c>
      <c r="G972" s="54">
        <v>2188412698.4126983</v>
      </c>
      <c r="H972" s="54">
        <v>1934429000</v>
      </c>
      <c r="I972" s="66">
        <v>1.1312964696107732</v>
      </c>
      <c r="J972" s="186">
        <v>13.165584415584414</v>
      </c>
    </row>
    <row r="973" spans="1:10">
      <c r="A973" s="65">
        <v>5225</v>
      </c>
      <c r="B973" s="52">
        <v>2.19</v>
      </c>
      <c r="C973" s="184">
        <v>0.86805555555555558</v>
      </c>
      <c r="D973" s="181">
        <v>60730593.607305937</v>
      </c>
      <c r="E973" s="26">
        <f>VLOOKUP(5225,季財報!$A:$H,8,0)</f>
        <v>0</v>
      </c>
      <c r="F973" s="184">
        <v>6.8458333333333329E-2</v>
      </c>
      <c r="G973" s="54">
        <v>3255159817.3515983</v>
      </c>
      <c r="H973" s="54">
        <v>8069853000</v>
      </c>
      <c r="I973" s="66">
        <v>0.40337287647638664</v>
      </c>
      <c r="J973" s="186">
        <v>7.0487671232876714</v>
      </c>
    </row>
    <row r="974" spans="1:10">
      <c r="A974" s="65">
        <v>5227</v>
      </c>
      <c r="B974" s="52">
        <v>-0.45</v>
      </c>
      <c r="C974" s="184">
        <v>1</v>
      </c>
      <c r="D974" s="181">
        <v>164444444.44444445</v>
      </c>
      <c r="E974" s="26">
        <f>VLOOKUP(5227,季財報!$A:$H,8,0)</f>
        <v>0</v>
      </c>
      <c r="F974" s="184">
        <v>4.0216666666666658E-2</v>
      </c>
      <c r="G974" s="54">
        <v>5870666666.666667</v>
      </c>
      <c r="H974" s="54">
        <v>1127307000</v>
      </c>
      <c r="I974" s="66">
        <v>5.2076911317561825</v>
      </c>
      <c r="J974" s="186">
        <v>0</v>
      </c>
    </row>
    <row r="975" spans="1:10">
      <c r="A975" s="65">
        <v>5230</v>
      </c>
      <c r="B975" s="52">
        <v>0.72</v>
      </c>
      <c r="C975" s="184">
        <v>1</v>
      </c>
      <c r="D975" s="181">
        <v>47222222.222222224</v>
      </c>
      <c r="E975" s="26">
        <f>VLOOKUP(5230,季財報!$A:$H,8,0)</f>
        <v>0</v>
      </c>
      <c r="F975" s="184">
        <v>4.5966666666666663E-2</v>
      </c>
      <c r="G975" s="54">
        <v>2361111111.1111112</v>
      </c>
      <c r="H975" s="54">
        <v>1410112000</v>
      </c>
      <c r="I975" s="66">
        <v>1.6744138842241689</v>
      </c>
      <c r="J975" s="186">
        <v>17.361111111111111</v>
      </c>
    </row>
    <row r="976" spans="1:10">
      <c r="A976" s="65">
        <v>5234</v>
      </c>
      <c r="B976" s="52">
        <v>0.71</v>
      </c>
      <c r="C976" s="184">
        <v>0.97674418604651159</v>
      </c>
      <c r="D976" s="181">
        <v>92957746.478873238</v>
      </c>
      <c r="E976" s="26">
        <f>VLOOKUP(5234,季財報!$A:$H,8,0)</f>
        <v>0</v>
      </c>
      <c r="F976" s="184">
        <v>-1.4999999999999966E-4</v>
      </c>
      <c r="G976" s="54">
        <v>2844507042.2535214</v>
      </c>
      <c r="H976" s="54">
        <v>3403758000</v>
      </c>
      <c r="I976" s="66">
        <v>0.8356960284055216</v>
      </c>
      <c r="J976" s="186">
        <v>11.031187122736421</v>
      </c>
    </row>
    <row r="977" spans="1:10">
      <c r="A977" s="65">
        <v>5243</v>
      </c>
      <c r="B977" s="52">
        <v>0.46</v>
      </c>
      <c r="C977" s="184">
        <v>0.52903225806451615</v>
      </c>
      <c r="D977" s="181">
        <v>176086956.52173913</v>
      </c>
      <c r="E977" s="26">
        <f>VLOOKUP(5243,季財報!$A:$H,8,0)</f>
        <v>0</v>
      </c>
      <c r="F977" s="184">
        <v>1.5583333333333345E-3</v>
      </c>
      <c r="G977" s="54">
        <v>5168152173.913044</v>
      </c>
      <c r="H977" s="54">
        <v>8600330000</v>
      </c>
      <c r="I977" s="66">
        <v>0.60092486845423887</v>
      </c>
      <c r="J977" s="186">
        <v>30.15144485683987</v>
      </c>
    </row>
    <row r="978" spans="1:10">
      <c r="A978" s="65">
        <v>5245</v>
      </c>
      <c r="B978" s="52">
        <v>1.43</v>
      </c>
      <c r="C978" s="184">
        <v>1</v>
      </c>
      <c r="D978" s="181">
        <v>38461538.461538464</v>
      </c>
      <c r="E978" s="26">
        <f>VLOOKUP(5245,季財報!$A:$H,8,0)</f>
        <v>0</v>
      </c>
      <c r="F978" s="184">
        <v>5.1683333333333324E-2</v>
      </c>
      <c r="G978" s="54">
        <v>3257692307.6923079</v>
      </c>
      <c r="H978" s="54">
        <v>1159779000</v>
      </c>
      <c r="I978" s="66">
        <v>2.8088905797503729</v>
      </c>
      <c r="J978" s="186">
        <v>14.807692307692308</v>
      </c>
    </row>
    <row r="979" spans="1:10">
      <c r="A979" s="65">
        <v>5251</v>
      </c>
      <c r="B979" s="52">
        <v>0.56000000000000005</v>
      </c>
      <c r="C979" s="184">
        <v>0</v>
      </c>
      <c r="D979" s="181">
        <v>30357142.857142854</v>
      </c>
      <c r="E979" s="26">
        <f>VLOOKUP(5251,季財報!$A:$H,8,0)</f>
        <v>0</v>
      </c>
      <c r="F979" s="184">
        <v>2.6941666666666659E-2</v>
      </c>
      <c r="G979" s="54">
        <v>0</v>
      </c>
      <c r="H979" s="54">
        <v>676288000</v>
      </c>
      <c r="I979" s="66">
        <v>0</v>
      </c>
      <c r="J979" s="186">
        <v>0</v>
      </c>
    </row>
    <row r="980" spans="1:10">
      <c r="A980" s="65">
        <v>5255</v>
      </c>
      <c r="B980" s="52">
        <v>0.06</v>
      </c>
      <c r="C980" s="184">
        <v>1</v>
      </c>
      <c r="D980" s="181">
        <v>33333333.333333336</v>
      </c>
      <c r="E980" s="26">
        <f>VLOOKUP(5255,季財報!$A:$H,8,0)</f>
        <v>0</v>
      </c>
      <c r="F980" s="184">
        <v>1.6908333333333334E-2</v>
      </c>
      <c r="G980" s="54">
        <v>576666666.66666675</v>
      </c>
      <c r="H980" s="54">
        <v>1146202000</v>
      </c>
      <c r="I980" s="66">
        <v>0.50311085364243535</v>
      </c>
      <c r="J980" s="186">
        <v>50</v>
      </c>
    </row>
    <row r="981" spans="1:10">
      <c r="A981" s="65">
        <v>5263</v>
      </c>
      <c r="B981" s="52">
        <v>1.51</v>
      </c>
      <c r="C981" s="184">
        <v>0.67619047619047623</v>
      </c>
      <c r="D981" s="181">
        <v>43708609.271523178</v>
      </c>
      <c r="E981" s="26">
        <f>VLOOKUP(5263,季財報!$A:$H,8,0)</f>
        <v>0</v>
      </c>
      <c r="F981" s="184">
        <v>8.6616666666666661E-2</v>
      </c>
      <c r="G981" s="54">
        <v>11670198675.496689</v>
      </c>
      <c r="H981" s="54">
        <v>643584000</v>
      </c>
      <c r="I981" s="66">
        <v>10</v>
      </c>
      <c r="J981" s="186">
        <v>50</v>
      </c>
    </row>
    <row r="982" spans="1:10">
      <c r="A982" s="65">
        <v>5264</v>
      </c>
      <c r="B982" s="52">
        <v>4.75</v>
      </c>
      <c r="C982" s="184">
        <v>0.64749319860085508</v>
      </c>
      <c r="D982" s="181">
        <v>339789473.68421054</v>
      </c>
      <c r="E982" s="26">
        <f>VLOOKUP(5264,季財報!$A:$H,8,0)</f>
        <v>0</v>
      </c>
      <c r="F982" s="184">
        <v>3.4358333333333331E-2</v>
      </c>
      <c r="G982" s="54">
        <v>53856631578.947372</v>
      </c>
      <c r="H982" s="54">
        <v>38168498000</v>
      </c>
      <c r="I982" s="66">
        <v>1.4110230792667653</v>
      </c>
      <c r="J982" s="186">
        <v>12.883695583496555</v>
      </c>
    </row>
    <row r="983" spans="1:10">
      <c r="A983" s="65">
        <v>5266</v>
      </c>
      <c r="B983" s="52">
        <v>2.06</v>
      </c>
      <c r="C983" s="184">
        <v>1</v>
      </c>
      <c r="D983" s="181">
        <v>32038834.951456308</v>
      </c>
      <c r="E983" s="26">
        <f>VLOOKUP(5266,季財報!$A:$H,8,0)</f>
        <v>0</v>
      </c>
      <c r="F983" s="184">
        <v>1.313333333333333E-2</v>
      </c>
      <c r="G983" s="54">
        <v>1992815533.9805825</v>
      </c>
      <c r="H983" s="54">
        <v>1083301000</v>
      </c>
      <c r="I983" s="66">
        <v>1.8395769356629252</v>
      </c>
      <c r="J983" s="186">
        <v>7.5485436893203888</v>
      </c>
    </row>
    <row r="984" spans="1:10">
      <c r="A984" s="65">
        <v>5269</v>
      </c>
      <c r="B984" s="52">
        <v>1.62</v>
      </c>
      <c r="C984" s="184">
        <v>0.66666666666666663</v>
      </c>
      <c r="D984" s="181">
        <v>56790123.456790119</v>
      </c>
      <c r="E984" s="26">
        <f>VLOOKUP(5269,季財報!$A:$H,8,0)</f>
        <v>0</v>
      </c>
      <c r="F984" s="184">
        <v>5.0325000000000009E-2</v>
      </c>
      <c r="G984" s="54">
        <v>10080246913.580246</v>
      </c>
      <c r="H984" s="54">
        <v>1505959000</v>
      </c>
      <c r="I984" s="66">
        <v>6.6935732736284628</v>
      </c>
      <c r="J984" s="186">
        <v>41.087962962962962</v>
      </c>
    </row>
    <row r="985" spans="1:10">
      <c r="A985" s="65">
        <v>5272</v>
      </c>
      <c r="B985" s="52">
        <v>0.14000000000000001</v>
      </c>
      <c r="C985" s="184">
        <v>0.66666666666666663</v>
      </c>
      <c r="D985" s="181">
        <v>49999999.999999993</v>
      </c>
      <c r="E985" s="26">
        <f>VLOOKUP(5272,季財報!$A:$H,8,0)</f>
        <v>0</v>
      </c>
      <c r="F985" s="184">
        <v>-6.9166666666666638E-3</v>
      </c>
      <c r="G985" s="54">
        <v>2009999999.9999998</v>
      </c>
      <c r="H985" s="54">
        <v>630126000</v>
      </c>
      <c r="I985" s="66">
        <v>3.1898382228316238</v>
      </c>
      <c r="J985" s="186">
        <v>50</v>
      </c>
    </row>
    <row r="986" spans="1:10">
      <c r="A986" s="65">
        <v>5274</v>
      </c>
      <c r="B986" s="52">
        <v>3.71</v>
      </c>
      <c r="C986" s="184">
        <v>0.8651685393258427</v>
      </c>
      <c r="D986" s="181">
        <v>31536388.140161727</v>
      </c>
      <c r="E986" s="26">
        <f>VLOOKUP(5274,季財報!$A:$H,8,0)</f>
        <v>0</v>
      </c>
      <c r="F986" s="184">
        <v>2.8999999999999998E-2</v>
      </c>
      <c r="G986" s="54">
        <v>11731536388.140162</v>
      </c>
      <c r="H986" s="54">
        <v>986523000</v>
      </c>
      <c r="I986" s="66">
        <v>10</v>
      </c>
      <c r="J986" s="186">
        <v>28.973990968600134</v>
      </c>
    </row>
    <row r="987" spans="1:10">
      <c r="A987" s="65">
        <v>5276</v>
      </c>
      <c r="B987" s="52">
        <v>0.64</v>
      </c>
      <c r="C987" s="184">
        <v>0.82926829268292679</v>
      </c>
      <c r="D987" s="181">
        <v>39062500</v>
      </c>
      <c r="E987" s="26">
        <f>VLOOKUP(5276,季財報!$A:$H,8,0)</f>
        <v>0</v>
      </c>
      <c r="F987" s="184">
        <v>2.5874999999999999E-2</v>
      </c>
      <c r="G987" s="54">
        <v>898437500</v>
      </c>
      <c r="H987" s="54">
        <v>831306000</v>
      </c>
      <c r="I987" s="66">
        <v>1.0807542589612009</v>
      </c>
      <c r="J987" s="186">
        <v>10.834099264705882</v>
      </c>
    </row>
    <row r="988" spans="1:10">
      <c r="A988" s="65">
        <v>5278</v>
      </c>
      <c r="B988" s="52">
        <v>-1.64</v>
      </c>
      <c r="C988" s="184">
        <v>1</v>
      </c>
      <c r="D988" s="181">
        <v>12195121.951219512</v>
      </c>
      <c r="E988" s="26">
        <f>VLOOKUP(5278,季財報!$A:$H,8,0)</f>
        <v>0</v>
      </c>
      <c r="F988" s="184">
        <v>2.355833333333333E-2</v>
      </c>
      <c r="G988" s="54">
        <v>357317073.17073172</v>
      </c>
      <c r="H988" s="54">
        <v>233380000</v>
      </c>
      <c r="I988" s="66">
        <v>1.5310526744825252</v>
      </c>
      <c r="J988" s="186">
        <v>0</v>
      </c>
    </row>
    <row r="989" spans="1:10">
      <c r="A989" s="65">
        <v>5284</v>
      </c>
      <c r="B989" s="52">
        <v>1.89</v>
      </c>
      <c r="C989" s="184">
        <v>0.8928571428571429</v>
      </c>
      <c r="D989" s="181">
        <v>33862433.862433866</v>
      </c>
      <c r="E989" s="26">
        <f>VLOOKUP(5284,季財報!$A:$H,8,0)</f>
        <v>0</v>
      </c>
      <c r="F989" s="184">
        <v>1.9925000000000002E-2</v>
      </c>
      <c r="G989" s="54">
        <v>2563386243.3862438</v>
      </c>
      <c r="H989" s="54">
        <v>1178297000</v>
      </c>
      <c r="I989" s="66">
        <v>2.1755009504278155</v>
      </c>
      <c r="J989" s="186">
        <v>11.214814814814815</v>
      </c>
    </row>
    <row r="990" spans="1:10">
      <c r="A990" s="65">
        <v>5285</v>
      </c>
      <c r="B990" s="52">
        <v>0.94</v>
      </c>
      <c r="C990" s="184">
        <v>0.79807692307692313</v>
      </c>
      <c r="D990" s="181">
        <v>74468085.106382981</v>
      </c>
      <c r="E990" s="26">
        <f>VLOOKUP(5285,季財報!$A:$H,8,0)</f>
        <v>0</v>
      </c>
      <c r="F990" s="184">
        <v>6.4499999999999983E-3</v>
      </c>
      <c r="G990" s="54">
        <v>2338297872.3404255</v>
      </c>
      <c r="H990" s="54">
        <v>2364811000</v>
      </c>
      <c r="I990" s="66">
        <v>0.9887884792232553</v>
      </c>
      <c r="J990" s="186">
        <v>10.463983593950269</v>
      </c>
    </row>
    <row r="991" spans="1:10">
      <c r="A991" s="65">
        <v>5287</v>
      </c>
      <c r="B991" s="52">
        <v>3.29</v>
      </c>
      <c r="C991" s="184">
        <v>0.96415770609318996</v>
      </c>
      <c r="D991" s="181">
        <v>41033434.650455929</v>
      </c>
      <c r="E991" s="26">
        <f>VLOOKUP(5287,季財報!$A:$H,8,0)</f>
        <v>0</v>
      </c>
      <c r="F991" s="184">
        <v>4.275000000000001E-3</v>
      </c>
      <c r="G991" s="54">
        <v>11817629179.331308</v>
      </c>
      <c r="H991" s="54">
        <v>1357472000</v>
      </c>
      <c r="I991" s="66">
        <v>8.7056154228826141</v>
      </c>
      <c r="J991" s="186">
        <v>22.69804860962023</v>
      </c>
    </row>
    <row r="992" spans="1:10">
      <c r="A992" s="65">
        <v>5288</v>
      </c>
      <c r="B992" s="52">
        <v>2.42</v>
      </c>
      <c r="C992" s="184">
        <v>0.74042553191489358</v>
      </c>
      <c r="D992" s="181">
        <v>64462809.917355374</v>
      </c>
      <c r="E992" s="26">
        <f>VLOOKUP(5288,季財報!$A:$H,8,0)</f>
        <v>0</v>
      </c>
      <c r="F992" s="184">
        <v>3.3908333333333332E-2</v>
      </c>
      <c r="G992" s="54">
        <v>8831404958.6776867</v>
      </c>
      <c r="H992" s="54">
        <v>4002457000</v>
      </c>
      <c r="I992" s="66">
        <v>2.206495899563115</v>
      </c>
      <c r="J992" s="186">
        <v>19.114538804977681</v>
      </c>
    </row>
    <row r="993" spans="1:10">
      <c r="A993" s="65">
        <v>5289</v>
      </c>
      <c r="B993" s="52">
        <v>2.84</v>
      </c>
      <c r="C993" s="184">
        <v>0.86851211072664358</v>
      </c>
      <c r="D993" s="181">
        <v>61971830.985915497</v>
      </c>
      <c r="E993" s="26">
        <f>VLOOKUP(5289,季財報!$A:$H,8,0)</f>
        <v>0</v>
      </c>
      <c r="F993" s="184">
        <v>1.6316666666666656E-2</v>
      </c>
      <c r="G993" s="54">
        <v>5961690140.8450708</v>
      </c>
      <c r="H993" s="54">
        <v>4235573000</v>
      </c>
      <c r="I993" s="66">
        <v>1.4075286014064852</v>
      </c>
      <c r="J993" s="186">
        <v>9.7503647382301786</v>
      </c>
    </row>
    <row r="994" spans="1:10">
      <c r="A994" s="65">
        <v>5291</v>
      </c>
      <c r="B994" s="52">
        <v>0.52</v>
      </c>
      <c r="C994" s="184">
        <v>0</v>
      </c>
      <c r="D994" s="181">
        <v>32692307.692307692</v>
      </c>
      <c r="E994" s="26">
        <f>VLOOKUP(5291,季財報!$A:$H,8,0)</f>
        <v>0</v>
      </c>
      <c r="F994" s="184">
        <v>-4.8083333333333372E-3</v>
      </c>
      <c r="G994" s="54">
        <v>573750000</v>
      </c>
      <c r="H994" s="54">
        <v>1058557000</v>
      </c>
      <c r="I994" s="66">
        <v>0.54201143632322113</v>
      </c>
      <c r="J994" s="186">
        <v>0</v>
      </c>
    </row>
    <row r="995" spans="1:10">
      <c r="A995" s="65">
        <v>5301</v>
      </c>
      <c r="B995" s="52">
        <v>-0.23</v>
      </c>
      <c r="C995" s="184">
        <v>0.16666666666666666</v>
      </c>
      <c r="D995" s="181">
        <v>100000000</v>
      </c>
      <c r="E995" s="26">
        <f>VLOOKUP(5301,季財報!$A:$H,8,0)</f>
        <v>0</v>
      </c>
      <c r="F995" s="184">
        <v>2.7591666666666671E-2</v>
      </c>
      <c r="G995" s="54">
        <v>4090000000</v>
      </c>
      <c r="H995" s="54">
        <v>2294347000</v>
      </c>
      <c r="I995" s="66">
        <v>1.7826422942998597</v>
      </c>
      <c r="J995" s="186">
        <v>0</v>
      </c>
    </row>
    <row r="996" spans="1:10">
      <c r="A996" s="65">
        <v>5302</v>
      </c>
      <c r="B996" s="52">
        <v>-0.02</v>
      </c>
      <c r="C996" s="184">
        <v>1</v>
      </c>
      <c r="D996" s="181">
        <v>150000000</v>
      </c>
      <c r="E996" s="26">
        <f>VLOOKUP(5302,季財報!$A:$H,8,0)</f>
        <v>0</v>
      </c>
      <c r="F996" s="184">
        <v>0.34401666666666664</v>
      </c>
      <c r="G996" s="54">
        <v>817500000</v>
      </c>
      <c r="H996" s="54">
        <v>213596000</v>
      </c>
      <c r="I996" s="66">
        <v>3.8273188636491322</v>
      </c>
      <c r="J996" s="186">
        <v>0</v>
      </c>
    </row>
    <row r="997" spans="1:10">
      <c r="A997" s="65">
        <v>5304</v>
      </c>
      <c r="B997" s="52">
        <v>0.26</v>
      </c>
      <c r="C997" s="184">
        <v>1</v>
      </c>
      <c r="D997" s="181">
        <v>188461538.46153846</v>
      </c>
      <c r="E997" s="26">
        <f>VLOOKUP(5304,季財報!$A:$H,8,0)</f>
        <v>0</v>
      </c>
      <c r="F997" s="184">
        <v>6.2016666666666664E-2</v>
      </c>
      <c r="G997" s="54">
        <v>569153846.15384614</v>
      </c>
      <c r="H997" s="54">
        <v>800785000</v>
      </c>
      <c r="I997" s="66">
        <v>0.7107448892697118</v>
      </c>
      <c r="J997" s="186">
        <v>2.9038461538461537</v>
      </c>
    </row>
    <row r="998" spans="1:10">
      <c r="A998" s="65">
        <v>5305</v>
      </c>
      <c r="B998" s="52">
        <v>0.03</v>
      </c>
      <c r="C998" s="184">
        <v>0</v>
      </c>
      <c r="D998" s="181">
        <v>366666666.66666669</v>
      </c>
      <c r="E998" s="26">
        <f>VLOOKUP(5305,季財報!$A:$H,8,0)</f>
        <v>0</v>
      </c>
      <c r="F998" s="184">
        <v>7.2916666666666642E-3</v>
      </c>
      <c r="G998" s="54">
        <v>7700000000</v>
      </c>
      <c r="H998" s="54">
        <v>9299015000</v>
      </c>
      <c r="I998" s="66">
        <v>0.82804469075488107</v>
      </c>
      <c r="J998" s="186">
        <v>0</v>
      </c>
    </row>
    <row r="999" spans="1:10">
      <c r="A999" s="65">
        <v>5306</v>
      </c>
      <c r="B999" s="52">
        <v>2</v>
      </c>
      <c r="C999" s="184">
        <v>0.70422535211267601</v>
      </c>
      <c r="D999" s="181">
        <v>112000000</v>
      </c>
      <c r="E999" s="26">
        <f>VLOOKUP(5306,季財報!$A:$H,8,0)</f>
        <v>0</v>
      </c>
      <c r="F999" s="184">
        <v>2.1175000000000003E-2</v>
      </c>
      <c r="G999" s="54">
        <v>15456000000</v>
      </c>
      <c r="H999" s="54">
        <v>3267856000</v>
      </c>
      <c r="I999" s="66">
        <v>4.7297065721378173</v>
      </c>
      <c r="J999" s="186">
        <v>24.495000000000001</v>
      </c>
    </row>
    <row r="1000" spans="1:10">
      <c r="A1000" s="65">
        <v>5309</v>
      </c>
      <c r="B1000" s="52">
        <v>0.15</v>
      </c>
      <c r="C1000" s="184">
        <v>0</v>
      </c>
      <c r="D1000" s="181">
        <v>186666666.66666669</v>
      </c>
      <c r="E1000" s="26">
        <f>VLOOKUP(5309,季財報!$A:$H,8,0)</f>
        <v>0</v>
      </c>
      <c r="F1000" s="184">
        <v>6.9100000000000023E-2</v>
      </c>
      <c r="G1000" s="54">
        <v>3584000000.0000005</v>
      </c>
      <c r="H1000" s="54">
        <v>1723533000</v>
      </c>
      <c r="I1000" s="66">
        <v>2.0794495956851424</v>
      </c>
      <c r="J1000" s="186">
        <v>0</v>
      </c>
    </row>
    <row r="1001" spans="1:10">
      <c r="A1001" s="65">
        <v>5310</v>
      </c>
      <c r="B1001" s="52">
        <v>-0.04</v>
      </c>
      <c r="C1001" s="184">
        <v>0.66666666666666663</v>
      </c>
      <c r="D1001" s="181">
        <v>50000000</v>
      </c>
      <c r="E1001" s="26">
        <f>VLOOKUP(5310,季財報!$A:$H,8,0)</f>
        <v>0</v>
      </c>
      <c r="F1001" s="184">
        <v>6.3625000000000029E-2</v>
      </c>
      <c r="G1001" s="54">
        <v>1335000000</v>
      </c>
      <c r="H1001" s="54">
        <v>281159000</v>
      </c>
      <c r="I1001" s="66">
        <v>4.7482029741178478</v>
      </c>
      <c r="J1001" s="186">
        <v>0</v>
      </c>
    </row>
    <row r="1002" spans="1:10">
      <c r="A1002" s="65">
        <v>5312</v>
      </c>
      <c r="B1002" s="52">
        <v>1.89</v>
      </c>
      <c r="C1002" s="184">
        <v>0.115</v>
      </c>
      <c r="D1002" s="181">
        <v>59788359.788359791</v>
      </c>
      <c r="E1002" s="26">
        <f>VLOOKUP(5312,季財報!$A:$H,8,0)</f>
        <v>0</v>
      </c>
      <c r="F1002" s="184">
        <v>6.125000000000002E-3</v>
      </c>
      <c r="G1002" s="54">
        <v>4932539682.5396824</v>
      </c>
      <c r="H1002" s="54">
        <v>2520757000</v>
      </c>
      <c r="I1002" s="66">
        <v>1.9567692096222216</v>
      </c>
      <c r="J1002" s="186">
        <v>50</v>
      </c>
    </row>
    <row r="1003" spans="1:10">
      <c r="A1003" s="65">
        <v>5314</v>
      </c>
      <c r="B1003" s="52">
        <v>-0.22</v>
      </c>
      <c r="C1003" s="184">
        <v>0.93103448275862066</v>
      </c>
      <c r="D1003" s="181">
        <v>59090909.090909094</v>
      </c>
      <c r="E1003" s="26">
        <f>VLOOKUP(5314,季財報!$A:$H,8,0)</f>
        <v>0</v>
      </c>
      <c r="F1003" s="184">
        <v>1.6749999999999959E-3</v>
      </c>
      <c r="G1003" s="54">
        <v>404181818.18181819</v>
      </c>
      <c r="H1003" s="54">
        <v>154736000</v>
      </c>
      <c r="I1003" s="66">
        <v>2.6120735845686731</v>
      </c>
      <c r="J1003" s="186">
        <v>0</v>
      </c>
    </row>
    <row r="1004" spans="1:10">
      <c r="A1004" s="65">
        <v>5315</v>
      </c>
      <c r="B1004" s="52">
        <v>1.1499999999999999</v>
      </c>
      <c r="C1004" s="184">
        <v>0.8571428571428571</v>
      </c>
      <c r="D1004" s="181">
        <v>106086956.52173914</v>
      </c>
      <c r="E1004" s="26">
        <f>VLOOKUP(5315,季財報!$A:$H,8,0)</f>
        <v>0</v>
      </c>
      <c r="F1004" s="184">
        <v>1.5566666666666668E-2</v>
      </c>
      <c r="G1004" s="54">
        <v>2577913043.478261</v>
      </c>
      <c r="H1004" s="54">
        <v>2599300000</v>
      </c>
      <c r="I1004" s="66">
        <v>0.99177203226955757</v>
      </c>
      <c r="J1004" s="186">
        <v>6.163043478260871</v>
      </c>
    </row>
    <row r="1005" spans="1:10">
      <c r="A1005" s="65">
        <v>5317</v>
      </c>
      <c r="B1005" s="52">
        <v>0.18</v>
      </c>
      <c r="C1005" s="184">
        <v>0.59459459459459463</v>
      </c>
      <c r="D1005" s="181">
        <v>133333333.33333334</v>
      </c>
      <c r="E1005" s="26">
        <f>VLOOKUP(5317,季財報!$A:$H,8,0)</f>
        <v>0</v>
      </c>
      <c r="F1005" s="184">
        <v>6.333333333333334E-3</v>
      </c>
      <c r="G1005" s="54">
        <v>1953333333.3333335</v>
      </c>
      <c r="H1005" s="54">
        <v>1640260000</v>
      </c>
      <c r="I1005" s="66">
        <v>1.1908681144046269</v>
      </c>
      <c r="J1005" s="186">
        <v>34.220328282828284</v>
      </c>
    </row>
    <row r="1006" spans="1:10">
      <c r="A1006" s="65">
        <v>5321</v>
      </c>
      <c r="B1006" s="52">
        <v>0.67</v>
      </c>
      <c r="C1006" s="184">
        <v>0.23809523809523808</v>
      </c>
      <c r="D1006" s="181">
        <v>28358208.955223881</v>
      </c>
      <c r="E1006" s="26">
        <f>VLOOKUP(5321,季財報!$A:$H,8,0)</f>
        <v>0</v>
      </c>
      <c r="F1006" s="184">
        <v>-1.7399999999999995E-2</v>
      </c>
      <c r="G1006" s="54">
        <v>852164179.10447764</v>
      </c>
      <c r="H1006" s="54">
        <v>1215917000</v>
      </c>
      <c r="I1006" s="66">
        <v>0.70084074743956837</v>
      </c>
      <c r="J1006" s="186">
        <v>47.093283582089555</v>
      </c>
    </row>
    <row r="1007" spans="1:10">
      <c r="A1007" s="65">
        <v>5324</v>
      </c>
      <c r="B1007" s="52">
        <v>-0.59</v>
      </c>
      <c r="C1007" s="184">
        <v>0.797752808988764</v>
      </c>
      <c r="D1007" s="181">
        <v>76271186.440677971</v>
      </c>
      <c r="E1007" s="26">
        <f>VLOOKUP(5324,季財報!$A:$H,8,0)</f>
        <v>0</v>
      </c>
      <c r="F1007" s="184">
        <v>3.2666666666666664E-3</v>
      </c>
      <c r="G1007" s="54">
        <v>819915254.23728824</v>
      </c>
      <c r="H1007" s="54">
        <v>142274000</v>
      </c>
      <c r="I1007" s="66">
        <v>5.7629310642653486</v>
      </c>
      <c r="J1007" s="186">
        <v>0</v>
      </c>
    </row>
    <row r="1008" spans="1:10">
      <c r="A1008" s="65">
        <v>5328</v>
      </c>
      <c r="B1008" s="52">
        <v>0.27</v>
      </c>
      <c r="C1008" s="184">
        <v>0</v>
      </c>
      <c r="D1008" s="181">
        <v>181481481.48148146</v>
      </c>
      <c r="E1008" s="26">
        <f>VLOOKUP(5328,季財報!$A:$H,8,0)</f>
        <v>0</v>
      </c>
      <c r="F1008" s="184">
        <v>2.7441666666666666E-2</v>
      </c>
      <c r="G1008" s="54">
        <v>1054407407.4074073</v>
      </c>
      <c r="H1008" s="54">
        <v>1057960000</v>
      </c>
      <c r="I1008" s="66">
        <v>0.99664203505558557</v>
      </c>
      <c r="J1008" s="186">
        <v>0</v>
      </c>
    </row>
    <row r="1009" spans="1:11">
      <c r="A1009" s="65">
        <v>5340</v>
      </c>
      <c r="B1009" s="52">
        <v>-0.1</v>
      </c>
      <c r="C1009" s="184">
        <v>1</v>
      </c>
      <c r="D1009" s="181">
        <v>190000000</v>
      </c>
      <c r="E1009" s="26">
        <f>VLOOKUP(5340,季財報!$A:$H,8,0)</f>
        <v>0</v>
      </c>
      <c r="F1009" s="184">
        <v>1.7108333333333333E-2</v>
      </c>
      <c r="G1009" s="54">
        <v>716300000</v>
      </c>
      <c r="H1009" s="54">
        <v>932682000</v>
      </c>
      <c r="I1009" s="66">
        <v>0.76800024016760271</v>
      </c>
      <c r="J1009" s="186">
        <v>0</v>
      </c>
    </row>
    <row r="1010" spans="1:11">
      <c r="A1010" s="65">
        <v>5344</v>
      </c>
      <c r="B1010" s="52">
        <v>-0.25</v>
      </c>
      <c r="C1010" s="184">
        <v>1</v>
      </c>
      <c r="D1010" s="181">
        <v>80000000</v>
      </c>
      <c r="E1010" s="26">
        <f>VLOOKUP(5344,季財報!$A:$H,8,0)</f>
        <v>0</v>
      </c>
      <c r="F1010" s="184">
        <v>1.3675E-2</v>
      </c>
      <c r="G1010" s="54">
        <v>490400000</v>
      </c>
      <c r="H1010" s="54">
        <v>127523000</v>
      </c>
      <c r="I1010" s="66">
        <v>3.8455807971895264</v>
      </c>
      <c r="J1010" s="186">
        <v>0</v>
      </c>
    </row>
    <row r="1011" spans="1:11">
      <c r="A1011" s="65">
        <v>5345</v>
      </c>
      <c r="B1011" s="52">
        <v>0.47</v>
      </c>
      <c r="C1011" s="184">
        <v>0</v>
      </c>
      <c r="D1011" s="181">
        <v>48936170.212765962</v>
      </c>
      <c r="E1011" s="26">
        <f>VLOOKUP(5345,季財報!$A:$H,8,0)</f>
        <v>0</v>
      </c>
      <c r="F1011" s="184">
        <v>0.2017916666666667</v>
      </c>
      <c r="G1011" s="54">
        <v>491808510.63829798</v>
      </c>
      <c r="H1011" s="54">
        <v>146039000</v>
      </c>
      <c r="I1011" s="66">
        <v>3.3676518644902935</v>
      </c>
      <c r="J1011" s="186">
        <v>0</v>
      </c>
      <c r="K1011" s="32"/>
    </row>
    <row r="1012" spans="1:11">
      <c r="A1012" s="65">
        <v>5347</v>
      </c>
      <c r="B1012" s="52">
        <v>0.52</v>
      </c>
      <c r="C1012" s="184">
        <v>0.88087774294670851</v>
      </c>
      <c r="D1012" s="181">
        <v>1636538461.5384614</v>
      </c>
      <c r="E1012" s="26">
        <f>VLOOKUP(5347,季財報!$A:$H,8,0)</f>
        <v>0</v>
      </c>
      <c r="F1012" s="184">
        <v>-6.8499999999999993E-3</v>
      </c>
      <c r="G1012" s="54">
        <v>67016250000</v>
      </c>
      <c r="H1012" s="54">
        <v>24001444000</v>
      </c>
      <c r="I1012" s="66">
        <v>2.7921757540921286</v>
      </c>
      <c r="J1012" s="186">
        <v>22.349866548042705</v>
      </c>
    </row>
    <row r="1013" spans="1:11">
      <c r="A1013" s="65">
        <v>5348</v>
      </c>
      <c r="B1013" s="52">
        <v>0.11</v>
      </c>
      <c r="C1013" s="184">
        <v>1</v>
      </c>
      <c r="D1013" s="181">
        <v>27272727.272727273</v>
      </c>
      <c r="E1013" s="26">
        <f>VLOOKUP(5348,季財報!$A:$H,8,0)</f>
        <v>0</v>
      </c>
      <c r="F1013" s="184">
        <v>0.11885833333333333</v>
      </c>
      <c r="G1013" s="54">
        <v>0</v>
      </c>
      <c r="H1013" s="54">
        <v>212490000</v>
      </c>
      <c r="I1013" s="66">
        <v>0</v>
      </c>
      <c r="J1013" s="186">
        <v>0</v>
      </c>
    </row>
    <row r="1014" spans="1:11">
      <c r="A1014" s="65">
        <v>5349</v>
      </c>
      <c r="B1014" s="52">
        <v>0.45</v>
      </c>
      <c r="C1014" s="184">
        <v>0.89686098654708524</v>
      </c>
      <c r="D1014" s="181">
        <v>215555555.55555555</v>
      </c>
      <c r="E1014" s="26">
        <f>VLOOKUP(5349,季財報!$A:$H,8,0)</f>
        <v>0</v>
      </c>
      <c r="F1014" s="184">
        <v>-6.1416666666666642E-3</v>
      </c>
      <c r="G1014" s="54">
        <v>7803111111.1111116</v>
      </c>
      <c r="H1014" s="54">
        <v>8105112000</v>
      </c>
      <c r="I1014" s="66">
        <v>0.96273945518718451</v>
      </c>
      <c r="J1014" s="186">
        <v>22.423888888888889</v>
      </c>
    </row>
    <row r="1015" spans="1:11">
      <c r="A1015" s="65">
        <v>5351</v>
      </c>
      <c r="B1015" s="52">
        <v>-0.16</v>
      </c>
      <c r="C1015" s="184">
        <v>1</v>
      </c>
      <c r="D1015" s="181">
        <v>431250000</v>
      </c>
      <c r="E1015" s="26">
        <f>VLOOKUP(5351,季財報!$A:$H,8,0)</f>
        <v>0</v>
      </c>
      <c r="F1015" s="184">
        <v>-1.1291666666666667E-2</v>
      </c>
      <c r="G1015" s="54">
        <v>5584687500</v>
      </c>
      <c r="H1015" s="54">
        <v>7612874000</v>
      </c>
      <c r="I1015" s="66">
        <v>0.73358464884615193</v>
      </c>
      <c r="J1015" s="186">
        <v>0</v>
      </c>
    </row>
    <row r="1016" spans="1:11">
      <c r="A1016" s="65">
        <v>5353</v>
      </c>
      <c r="B1016" s="52">
        <v>0.25</v>
      </c>
      <c r="C1016" s="184">
        <v>0</v>
      </c>
      <c r="D1016" s="181">
        <v>88000000</v>
      </c>
      <c r="E1016" s="26">
        <f>VLOOKUP(5353,季財報!$A:$H,8,0)</f>
        <v>0</v>
      </c>
      <c r="F1016" s="184">
        <v>1.21E-2</v>
      </c>
      <c r="G1016" s="54">
        <v>815760000</v>
      </c>
      <c r="H1016" s="54">
        <v>1111898000</v>
      </c>
      <c r="I1016" s="66">
        <v>0.73366441885856437</v>
      </c>
      <c r="J1016" s="186">
        <v>0</v>
      </c>
    </row>
    <row r="1017" spans="1:11">
      <c r="A1017" s="65">
        <v>5355</v>
      </c>
      <c r="B1017" s="52">
        <v>0.12</v>
      </c>
      <c r="C1017" s="184">
        <v>0</v>
      </c>
      <c r="D1017" s="181">
        <v>175000000</v>
      </c>
      <c r="E1017" s="26">
        <f>VLOOKUP(5355,季財報!$A:$H,8,0)</f>
        <v>0</v>
      </c>
      <c r="F1017" s="184">
        <v>-1.1099999999999999E-2</v>
      </c>
      <c r="G1017" s="54">
        <v>1176000000</v>
      </c>
      <c r="H1017" s="54">
        <v>1488355000</v>
      </c>
      <c r="I1017" s="66">
        <v>0.79013407419600834</v>
      </c>
      <c r="J1017" s="186">
        <v>0</v>
      </c>
    </row>
    <row r="1018" spans="1:11">
      <c r="A1018" s="65">
        <v>5356</v>
      </c>
      <c r="B1018" s="52">
        <v>1.46</v>
      </c>
      <c r="C1018" s="184">
        <v>0.66533864541832666</v>
      </c>
      <c r="D1018" s="181">
        <v>129452054.79452056</v>
      </c>
      <c r="E1018" s="26">
        <f>VLOOKUP(5356,季財報!$A:$H,8,0)</f>
        <v>0</v>
      </c>
      <c r="F1018" s="184">
        <v>2.4833333333333374E-3</v>
      </c>
      <c r="G1018" s="54">
        <v>5055102739.7260275</v>
      </c>
      <c r="H1018" s="54">
        <v>9503407000</v>
      </c>
      <c r="I1018" s="66">
        <v>0.53192531265113951</v>
      </c>
      <c r="J1018" s="186">
        <v>10.049985645148061</v>
      </c>
    </row>
    <row r="1019" spans="1:11">
      <c r="A1019" s="65">
        <v>5364</v>
      </c>
      <c r="B1019" s="52">
        <v>0.21</v>
      </c>
      <c r="C1019" s="184">
        <v>0.5</v>
      </c>
      <c r="D1019" s="181">
        <v>9523809.5238095243</v>
      </c>
      <c r="E1019" s="26">
        <f>VLOOKUP(5364,季財報!$A:$H,8,0)</f>
        <v>0</v>
      </c>
      <c r="F1019" s="184">
        <v>0.12008333333333333</v>
      </c>
      <c r="G1019" s="54">
        <v>0</v>
      </c>
      <c r="H1019" s="54">
        <v>387395000</v>
      </c>
      <c r="I1019" s="66">
        <v>0</v>
      </c>
      <c r="J1019" s="186">
        <v>0</v>
      </c>
    </row>
    <row r="1020" spans="1:11">
      <c r="A1020" s="65">
        <v>5371</v>
      </c>
      <c r="B1020" s="52">
        <v>1.27</v>
      </c>
      <c r="C1020" s="184">
        <v>0.65109343936381714</v>
      </c>
      <c r="D1020" s="181">
        <v>542519685.03937006</v>
      </c>
      <c r="E1020" s="26">
        <f>VLOOKUP(5371,季財報!$A:$H,8,0)</f>
        <v>0</v>
      </c>
      <c r="F1020" s="184">
        <v>-2.3666666666666662E-3</v>
      </c>
      <c r="G1020" s="54">
        <v>16763858267.716534</v>
      </c>
      <c r="H1020" s="54">
        <v>69761143000</v>
      </c>
      <c r="I1020" s="66">
        <v>0.24030366399983633</v>
      </c>
      <c r="J1020" s="186">
        <v>9.3422492035823765</v>
      </c>
    </row>
    <row r="1021" spans="1:11">
      <c r="A1021" s="65">
        <v>5381</v>
      </c>
      <c r="B1021" s="52">
        <v>-1.28</v>
      </c>
      <c r="C1021" s="184">
        <v>0.87535410764872523</v>
      </c>
      <c r="D1021" s="181">
        <v>187500000</v>
      </c>
      <c r="E1021" s="26">
        <f>VLOOKUP(5381,季財報!$A:$H,8,0)</f>
        <v>0</v>
      </c>
      <c r="F1021" s="184">
        <v>-5.0116666666666664E-2</v>
      </c>
      <c r="G1021" s="54">
        <v>286875000</v>
      </c>
      <c r="H1021" s="54">
        <v>1121784000</v>
      </c>
      <c r="I1021" s="66">
        <v>0.25573104982777434</v>
      </c>
      <c r="J1021" s="186">
        <v>0</v>
      </c>
    </row>
    <row r="1022" spans="1:11">
      <c r="A1022" s="65">
        <v>5383</v>
      </c>
      <c r="B1022" s="52">
        <v>-0.35</v>
      </c>
      <c r="C1022" s="184">
        <v>1</v>
      </c>
      <c r="D1022" s="181">
        <v>71428571.428571433</v>
      </c>
      <c r="E1022" s="26">
        <f>VLOOKUP(5383,季財報!$A:$H,8,0)</f>
        <v>0</v>
      </c>
      <c r="F1022" s="184">
        <v>1.631666666666667E-2</v>
      </c>
      <c r="G1022" s="54">
        <v>760714285.71428573</v>
      </c>
      <c r="H1022" s="54">
        <v>879586000</v>
      </c>
      <c r="I1022" s="66">
        <v>0.86485492687956123</v>
      </c>
      <c r="J1022" s="186">
        <v>0</v>
      </c>
    </row>
    <row r="1023" spans="1:11">
      <c r="A1023" s="65">
        <v>5384</v>
      </c>
      <c r="B1023" s="52">
        <v>0.04</v>
      </c>
      <c r="C1023" s="184">
        <v>1</v>
      </c>
      <c r="D1023" s="181">
        <v>75000000</v>
      </c>
      <c r="E1023" s="26">
        <f>VLOOKUP(5384,季財報!$A:$H,8,0)</f>
        <v>0</v>
      </c>
      <c r="F1023" s="184">
        <v>2.8908333333333331E-2</v>
      </c>
      <c r="G1023" s="54">
        <v>978750000</v>
      </c>
      <c r="H1023" s="54">
        <v>11335106000</v>
      </c>
      <c r="I1023" s="66">
        <v>8.6346788464086707E-2</v>
      </c>
      <c r="J1023" s="186">
        <v>50</v>
      </c>
    </row>
    <row r="1024" spans="1:11">
      <c r="A1024" s="65">
        <v>5386</v>
      </c>
      <c r="B1024" s="52">
        <v>1.02</v>
      </c>
      <c r="C1024" s="184">
        <v>0.88461538461538458</v>
      </c>
      <c r="D1024" s="181">
        <v>12745098.039215686</v>
      </c>
      <c r="E1024" s="26">
        <f>VLOOKUP(5386,季財報!$A:$H,8,0)</f>
        <v>0</v>
      </c>
      <c r="F1024" s="184">
        <v>0.32258333333333333</v>
      </c>
      <c r="G1024" s="54">
        <v>323725490.19607842</v>
      </c>
      <c r="H1024" s="54">
        <v>1791397000</v>
      </c>
      <c r="I1024" s="66">
        <v>0.18071119366398314</v>
      </c>
      <c r="J1024" s="186">
        <v>7.0375106564364875</v>
      </c>
    </row>
    <row r="1025" spans="1:10">
      <c r="A1025" s="65">
        <v>5388</v>
      </c>
      <c r="B1025" s="52">
        <v>1.89</v>
      </c>
      <c r="C1025" s="184">
        <v>1</v>
      </c>
      <c r="D1025" s="181">
        <v>233862433.86243388</v>
      </c>
      <c r="E1025" s="26">
        <f>VLOOKUP(5388,季財報!$A:$H,8,0)</f>
        <v>0</v>
      </c>
      <c r="F1025" s="184">
        <v>5.0708333333333334E-2</v>
      </c>
      <c r="G1025" s="54">
        <v>18568677248.67725</v>
      </c>
      <c r="H1025" s="54">
        <v>32910715000</v>
      </c>
      <c r="I1025" s="66">
        <v>0.56421372943970527</v>
      </c>
      <c r="J1025" s="186">
        <v>10.502645502645503</v>
      </c>
    </row>
    <row r="1026" spans="1:10">
      <c r="A1026" s="65">
        <v>5392</v>
      </c>
      <c r="B1026" s="52">
        <v>-0.35</v>
      </c>
      <c r="C1026" s="184">
        <v>1</v>
      </c>
      <c r="D1026" s="181">
        <v>97142857.142857149</v>
      </c>
      <c r="E1026" s="26">
        <f>VLOOKUP(5392,季財報!$A:$H,8,0)</f>
        <v>0</v>
      </c>
      <c r="F1026" s="184">
        <v>8.7633333333333341E-2</v>
      </c>
      <c r="G1026" s="54">
        <v>5236000000</v>
      </c>
      <c r="H1026" s="54">
        <v>5467176000</v>
      </c>
      <c r="I1026" s="66">
        <v>0.95771564698118372</v>
      </c>
      <c r="J1026" s="186">
        <v>0</v>
      </c>
    </row>
    <row r="1027" spans="1:10">
      <c r="A1027" s="65">
        <v>5395</v>
      </c>
      <c r="B1027" s="52">
        <v>0.05</v>
      </c>
      <c r="C1027" s="184">
        <v>1</v>
      </c>
      <c r="D1027" s="181">
        <v>60000000</v>
      </c>
      <c r="E1027" s="26">
        <f>VLOOKUP(5395,季財報!$A:$H,8,0)</f>
        <v>0</v>
      </c>
      <c r="F1027" s="184">
        <v>2.0539166666666668</v>
      </c>
      <c r="G1027" s="54">
        <v>1887000000</v>
      </c>
      <c r="H1027" s="54">
        <v>950496000</v>
      </c>
      <c r="I1027" s="66">
        <v>1.9852792647207353</v>
      </c>
      <c r="J1027" s="186">
        <v>50</v>
      </c>
    </row>
    <row r="1028" spans="1:10">
      <c r="A1028" s="65">
        <v>5398</v>
      </c>
      <c r="B1028" s="52">
        <v>-0.41</v>
      </c>
      <c r="C1028" s="184">
        <v>0.54545454545454541</v>
      </c>
      <c r="D1028" s="181">
        <v>41463414.634146348</v>
      </c>
      <c r="E1028" s="26">
        <f>VLOOKUP(5398,季財報!$A:$H,8,0)</f>
        <v>0</v>
      </c>
      <c r="F1028" s="184">
        <v>2.8408333333333331E-2</v>
      </c>
      <c r="G1028" s="54">
        <v>709024390.24390256</v>
      </c>
      <c r="H1028" s="54">
        <v>232039000</v>
      </c>
      <c r="I1028" s="66">
        <v>3.0556259518611206</v>
      </c>
      <c r="J1028" s="186">
        <v>0</v>
      </c>
    </row>
    <row r="1029" spans="1:10">
      <c r="A1029" s="65">
        <v>5403</v>
      </c>
      <c r="B1029" s="52">
        <v>0.39</v>
      </c>
      <c r="C1029" s="184">
        <v>0.82352941176470584</v>
      </c>
      <c r="D1029" s="181">
        <v>66666666.666666664</v>
      </c>
      <c r="E1029" s="26">
        <f>VLOOKUP(5403,季財報!$A:$H,8,0)</f>
        <v>0</v>
      </c>
      <c r="F1029" s="184">
        <v>9.1083333333333311E-3</v>
      </c>
      <c r="G1029" s="54">
        <v>1456666666.6666667</v>
      </c>
      <c r="H1029" s="54">
        <v>1287376000</v>
      </c>
      <c r="I1029" s="66">
        <v>1.1315005613485623</v>
      </c>
      <c r="J1029" s="186">
        <v>17.007783882783883</v>
      </c>
    </row>
    <row r="1030" spans="1:10">
      <c r="A1030" s="65">
        <v>5410</v>
      </c>
      <c r="B1030" s="52">
        <v>0.36</v>
      </c>
      <c r="C1030" s="184">
        <v>0.53061224489795922</v>
      </c>
      <c r="D1030" s="181">
        <v>88888888.888888896</v>
      </c>
      <c r="E1030" s="26">
        <f>VLOOKUP(5410,季財報!$A:$H,8,0)</f>
        <v>0</v>
      </c>
      <c r="F1030" s="184">
        <v>8.3716666666666675E-2</v>
      </c>
      <c r="G1030" s="54">
        <v>1066666666.6666667</v>
      </c>
      <c r="H1030" s="54">
        <v>2351905000</v>
      </c>
      <c r="I1030" s="66">
        <v>0.45353305795372972</v>
      </c>
      <c r="J1030" s="186">
        <v>15.705128205128204</v>
      </c>
    </row>
    <row r="1031" spans="1:10">
      <c r="A1031" s="65">
        <v>5425</v>
      </c>
      <c r="B1031" s="52">
        <v>1</v>
      </c>
      <c r="C1031" s="184">
        <v>0.72950819672131151</v>
      </c>
      <c r="D1031" s="181">
        <v>233000000</v>
      </c>
      <c r="E1031" s="26">
        <f>VLOOKUP(5425,季財報!$A:$H,8,0)</f>
        <v>0</v>
      </c>
      <c r="F1031" s="184">
        <v>2.164166666666666E-2</v>
      </c>
      <c r="G1031" s="54">
        <v>7945300000</v>
      </c>
      <c r="H1031" s="54">
        <v>7624254000</v>
      </c>
      <c r="I1031" s="66">
        <v>1.042108513173879</v>
      </c>
      <c r="J1031" s="186">
        <v>11.685955056179775</v>
      </c>
    </row>
    <row r="1032" spans="1:10">
      <c r="A1032" s="65">
        <v>5426</v>
      </c>
      <c r="B1032" s="52">
        <v>0.27</v>
      </c>
      <c r="C1032" s="184">
        <v>0</v>
      </c>
      <c r="D1032" s="181">
        <v>0</v>
      </c>
      <c r="E1032" s="26">
        <f>VLOOKUP(5426,季財報!$A:$H,8,0)</f>
        <v>0</v>
      </c>
      <c r="F1032" s="184">
        <v>-1.1999999999999997E-3</v>
      </c>
      <c r="G1032" s="54">
        <v>0</v>
      </c>
      <c r="H1032" s="54">
        <v>1646138000</v>
      </c>
      <c r="I1032" s="66">
        <v>0</v>
      </c>
      <c r="J1032" s="186">
        <v>0</v>
      </c>
    </row>
    <row r="1033" spans="1:10">
      <c r="A1033" s="65">
        <v>5432</v>
      </c>
      <c r="B1033" s="52">
        <v>0.43</v>
      </c>
      <c r="C1033" s="184">
        <v>1</v>
      </c>
      <c r="D1033" s="181">
        <v>20930232.558139537</v>
      </c>
      <c r="E1033" s="26">
        <f>VLOOKUP(5432,季財報!$A:$H,8,0)</f>
        <v>0</v>
      </c>
      <c r="F1033" s="184">
        <v>-5.4166666666666712E-3</v>
      </c>
      <c r="G1033" s="54">
        <v>316046511.62790698</v>
      </c>
      <c r="H1033" s="54">
        <v>127694000</v>
      </c>
      <c r="I1033" s="66">
        <v>2.4750302412635441</v>
      </c>
      <c r="J1033" s="186">
        <v>8.779069767441861</v>
      </c>
    </row>
    <row r="1034" spans="1:10">
      <c r="A1034" s="65">
        <v>5434</v>
      </c>
      <c r="B1034" s="52">
        <v>1.61</v>
      </c>
      <c r="C1034" s="184">
        <v>0.8012048192771084</v>
      </c>
      <c r="D1034" s="181">
        <v>162732919.25465837</v>
      </c>
      <c r="E1034" s="26">
        <f>VLOOKUP(5434,季財報!$A:$H,8,0)</f>
        <v>0</v>
      </c>
      <c r="F1034" s="184">
        <v>8.0416666666666674E-3</v>
      </c>
      <c r="G1034" s="54">
        <v>8689937888.1987572</v>
      </c>
      <c r="H1034" s="54">
        <v>18786432000</v>
      </c>
      <c r="I1034" s="66">
        <v>0.4625645725701803</v>
      </c>
      <c r="J1034" s="186">
        <v>10.34932050623453</v>
      </c>
    </row>
    <row r="1035" spans="1:10">
      <c r="A1035" s="65">
        <v>5438</v>
      </c>
      <c r="B1035" s="52">
        <v>1.1100000000000001</v>
      </c>
      <c r="C1035" s="184">
        <v>0.50314465408805031</v>
      </c>
      <c r="D1035" s="181">
        <v>112612612.61261261</v>
      </c>
      <c r="E1035" s="26">
        <f>VLOOKUP(5438,季財報!$A:$H,8,0)</f>
        <v>0</v>
      </c>
      <c r="F1035" s="184">
        <v>9.7850000000000006E-2</v>
      </c>
      <c r="G1035" s="54">
        <v>1554054054.054054</v>
      </c>
      <c r="H1035" s="54">
        <v>2455185000</v>
      </c>
      <c r="I1035" s="66">
        <v>0.63296820974959278</v>
      </c>
      <c r="J1035" s="186">
        <v>6.177364864864864</v>
      </c>
    </row>
    <row r="1036" spans="1:10">
      <c r="A1036" s="65">
        <v>5439</v>
      </c>
      <c r="B1036" s="52">
        <v>0.6</v>
      </c>
      <c r="C1036" s="184">
        <v>0.86111111111111116</v>
      </c>
      <c r="D1036" s="181">
        <v>78333333.333333343</v>
      </c>
      <c r="E1036" s="26">
        <f>VLOOKUP(5439,季財報!$A:$H,8,0)</f>
        <v>0</v>
      </c>
      <c r="F1036" s="184">
        <v>8.5749999999999993E-3</v>
      </c>
      <c r="G1036" s="54">
        <v>1453083333.3333335</v>
      </c>
      <c r="H1036" s="54">
        <v>1846906000</v>
      </c>
      <c r="I1036" s="66">
        <v>0.7867662638668852</v>
      </c>
      <c r="J1036" s="186">
        <v>8.9758064516129021</v>
      </c>
    </row>
    <row r="1037" spans="1:10">
      <c r="A1037" s="65">
        <v>5443</v>
      </c>
      <c r="B1037" s="52">
        <v>0.73</v>
      </c>
      <c r="C1037" s="184">
        <v>1</v>
      </c>
      <c r="D1037" s="181">
        <v>164383561.64383563</v>
      </c>
      <c r="E1037" s="26">
        <f>VLOOKUP(5443,季財報!$A:$H,8,0)</f>
        <v>0</v>
      </c>
      <c r="F1037" s="184">
        <v>0.13092499999999999</v>
      </c>
      <c r="G1037" s="54">
        <v>2186301369.8630142</v>
      </c>
      <c r="H1037" s="54">
        <v>3531329000</v>
      </c>
      <c r="I1037" s="66">
        <v>0.61911574080551945</v>
      </c>
      <c r="J1037" s="186">
        <v>4.5547945205479454</v>
      </c>
    </row>
    <row r="1038" spans="1:10">
      <c r="A1038" s="65">
        <v>5450</v>
      </c>
      <c r="B1038" s="52">
        <v>-0.05</v>
      </c>
      <c r="C1038" s="184">
        <v>1</v>
      </c>
      <c r="D1038" s="181">
        <v>40000000</v>
      </c>
      <c r="E1038" s="26">
        <f>VLOOKUP(5450,季財報!$A:$H,8,0)</f>
        <v>0</v>
      </c>
      <c r="F1038" s="184">
        <v>2.151666666666666E-2</v>
      </c>
      <c r="G1038" s="54">
        <v>324000000</v>
      </c>
      <c r="H1038" s="54">
        <v>755541000</v>
      </c>
      <c r="I1038" s="66">
        <v>0.42883179073008615</v>
      </c>
      <c r="J1038" s="186">
        <v>0</v>
      </c>
    </row>
    <row r="1039" spans="1:10">
      <c r="A1039" s="65">
        <v>5452</v>
      </c>
      <c r="B1039" s="52">
        <v>0.28999999999999998</v>
      </c>
      <c r="C1039" s="184">
        <v>0.80555555555555558</v>
      </c>
      <c r="D1039" s="181">
        <v>148275862.06896552</v>
      </c>
      <c r="E1039" s="26">
        <f>VLOOKUP(5452,季財報!$A:$H,8,0)</f>
        <v>0</v>
      </c>
      <c r="F1039" s="184">
        <v>-9.8083333333333356E-3</v>
      </c>
      <c r="G1039" s="54">
        <v>1380448275.8620691</v>
      </c>
      <c r="H1039" s="54">
        <v>5668671000</v>
      </c>
      <c r="I1039" s="66">
        <v>0.24352238397008208</v>
      </c>
      <c r="J1039" s="186">
        <v>9.9631391200951249</v>
      </c>
    </row>
    <row r="1040" spans="1:10">
      <c r="A1040" s="65">
        <v>5455</v>
      </c>
      <c r="B1040" s="52">
        <v>-0.32</v>
      </c>
      <c r="C1040" s="184">
        <v>1</v>
      </c>
      <c r="D1040" s="181">
        <v>34375000</v>
      </c>
      <c r="E1040" s="26">
        <f>VLOOKUP(5455,季財報!$A:$H,8,0)</f>
        <v>0</v>
      </c>
      <c r="F1040" s="184">
        <v>0.14751666666666666</v>
      </c>
      <c r="G1040" s="54">
        <v>213125000</v>
      </c>
      <c r="H1040" s="54">
        <v>19416000</v>
      </c>
      <c r="I1040" s="66">
        <v>10</v>
      </c>
      <c r="J1040" s="186">
        <v>0</v>
      </c>
    </row>
    <row r="1041" spans="1:10">
      <c r="A1041" s="65">
        <v>5457</v>
      </c>
      <c r="B1041" s="52">
        <v>0.62</v>
      </c>
      <c r="C1041" s="184">
        <v>0.59183673469387754</v>
      </c>
      <c r="D1041" s="181">
        <v>167741935.48387098</v>
      </c>
      <c r="E1041" s="26">
        <f>VLOOKUP(5457,季財報!$A:$H,8,0)</f>
        <v>0</v>
      </c>
      <c r="F1041" s="184">
        <v>4.8583333333333412E-3</v>
      </c>
      <c r="G1041" s="54">
        <v>4998709677.4193554</v>
      </c>
      <c r="H1041" s="54">
        <v>2310223000</v>
      </c>
      <c r="I1041" s="66">
        <v>2.1637347032816119</v>
      </c>
      <c r="J1041" s="186">
        <v>20.303114571746384</v>
      </c>
    </row>
    <row r="1042" spans="1:10">
      <c r="A1042" s="65">
        <v>5460</v>
      </c>
      <c r="B1042" s="52">
        <v>0.18</v>
      </c>
      <c r="C1042" s="184">
        <v>0.91428571428571426</v>
      </c>
      <c r="D1042" s="181">
        <v>72222222.222222224</v>
      </c>
      <c r="E1042" s="26">
        <f>VLOOKUP(5460,季財報!$A:$H,8,0)</f>
        <v>0</v>
      </c>
      <c r="F1042" s="184">
        <v>-1.9075000000000005E-2</v>
      </c>
      <c r="G1042" s="54">
        <v>859444444.44444454</v>
      </c>
      <c r="H1042" s="54">
        <v>960220000</v>
      </c>
      <c r="I1042" s="66">
        <v>0.89504951411597811</v>
      </c>
      <c r="J1042" s="186">
        <v>18.077256944444446</v>
      </c>
    </row>
    <row r="1043" spans="1:10">
      <c r="A1043" s="65">
        <v>5464</v>
      </c>
      <c r="B1043" s="52">
        <v>2.14</v>
      </c>
      <c r="C1043" s="184">
        <v>0</v>
      </c>
      <c r="D1043" s="181">
        <v>71028037.383177564</v>
      </c>
      <c r="E1043" s="26">
        <f>VLOOKUP(5464,季財報!$A:$H,8,0)</f>
        <v>0</v>
      </c>
      <c r="F1043" s="184">
        <v>1.3191666666666671E-2</v>
      </c>
      <c r="G1043" s="54">
        <v>1221682242.990654</v>
      </c>
      <c r="H1043" s="54">
        <v>1397100000</v>
      </c>
      <c r="I1043" s="66">
        <v>0.87444151670650205</v>
      </c>
      <c r="J1043" s="186">
        <v>0</v>
      </c>
    </row>
    <row r="1044" spans="1:10">
      <c r="A1044" s="65">
        <v>5465</v>
      </c>
      <c r="B1044" s="52">
        <v>0.01</v>
      </c>
      <c r="C1044" s="184">
        <v>0</v>
      </c>
      <c r="D1044" s="181">
        <v>200000000</v>
      </c>
      <c r="E1044" s="26">
        <f>VLOOKUP(5465,季財報!$A:$H,8,0)</f>
        <v>0</v>
      </c>
      <c r="F1044" s="184">
        <v>-7.3916666666666644E-3</v>
      </c>
      <c r="G1044" s="54">
        <v>2070000000</v>
      </c>
      <c r="H1044" s="54">
        <v>2575428000</v>
      </c>
      <c r="I1044" s="66">
        <v>0.80374990098733101</v>
      </c>
      <c r="J1044" s="186">
        <v>0</v>
      </c>
    </row>
    <row r="1045" spans="1:10">
      <c r="A1045" s="65">
        <v>5468</v>
      </c>
      <c r="B1045" s="52">
        <v>-0.04</v>
      </c>
      <c r="C1045" s="184">
        <v>0.33333333333333331</v>
      </c>
      <c r="D1045" s="181">
        <v>50000000</v>
      </c>
      <c r="E1045" s="26">
        <f>VLOOKUP(5468,季財報!$A:$H,8,0)</f>
        <v>0</v>
      </c>
      <c r="F1045" s="184">
        <v>-1.3716666666666667E-2</v>
      </c>
      <c r="G1045" s="54">
        <v>354500000</v>
      </c>
      <c r="H1045" s="54">
        <v>459641000</v>
      </c>
      <c r="I1045" s="66">
        <v>0.77125408742910229</v>
      </c>
      <c r="J1045" s="186">
        <v>0</v>
      </c>
    </row>
    <row r="1046" spans="1:10">
      <c r="A1046" s="65">
        <v>5469</v>
      </c>
      <c r="B1046" s="52">
        <v>0.62</v>
      </c>
      <c r="C1046" s="184">
        <v>0</v>
      </c>
      <c r="D1046" s="181">
        <v>446774193.54838711</v>
      </c>
      <c r="E1046" s="26">
        <f>VLOOKUP(5469,季財報!$A:$H,8,0)</f>
        <v>0</v>
      </c>
      <c r="F1046" s="184">
        <v>-8.1000000000000013E-3</v>
      </c>
      <c r="G1046" s="54">
        <v>4646451612.9032259</v>
      </c>
      <c r="H1046" s="54">
        <v>41213420000</v>
      </c>
      <c r="I1046" s="66">
        <v>0.11274122877701549</v>
      </c>
      <c r="J1046" s="186">
        <v>0</v>
      </c>
    </row>
    <row r="1047" spans="1:10">
      <c r="A1047" s="65">
        <v>5471</v>
      </c>
      <c r="B1047" s="52">
        <v>0.67</v>
      </c>
      <c r="C1047" s="184">
        <v>0.78367346938775506</v>
      </c>
      <c r="D1047" s="181">
        <v>167164179.10447761</v>
      </c>
      <c r="E1047" s="26">
        <f>VLOOKUP(5471,季財報!$A:$H,8,0)</f>
        <v>0</v>
      </c>
      <c r="F1047" s="184">
        <v>1.8441666666666669E-2</v>
      </c>
      <c r="G1047" s="54">
        <v>5742089552.2388067</v>
      </c>
      <c r="H1047" s="54">
        <v>3314835000</v>
      </c>
      <c r="I1047" s="66">
        <v>1.7322399311696681</v>
      </c>
      <c r="J1047" s="186">
        <v>16.355235541044774</v>
      </c>
    </row>
    <row r="1048" spans="1:10">
      <c r="A1048" s="65">
        <v>5474</v>
      </c>
      <c r="B1048" s="52">
        <v>2.2400000000000002</v>
      </c>
      <c r="C1048" s="184">
        <v>0.91588785046728971</v>
      </c>
      <c r="D1048" s="181">
        <v>33928571.428571425</v>
      </c>
      <c r="E1048" s="26">
        <f>VLOOKUP(5474,季財報!$A:$H,8,0)</f>
        <v>0</v>
      </c>
      <c r="F1048" s="184">
        <v>4.3116666666666671E-2</v>
      </c>
      <c r="G1048" s="54">
        <v>2378392857.1428566</v>
      </c>
      <c r="H1048" s="54">
        <v>1084309000</v>
      </c>
      <c r="I1048" s="66">
        <v>2.1934640929318641</v>
      </c>
      <c r="J1048" s="186">
        <v>8.5421601676384817</v>
      </c>
    </row>
    <row r="1049" spans="1:10">
      <c r="A1049" s="65">
        <v>5475</v>
      </c>
      <c r="B1049" s="52">
        <v>-0.38</v>
      </c>
      <c r="C1049" s="184">
        <v>1</v>
      </c>
      <c r="D1049" s="181">
        <v>223684210.52631578</v>
      </c>
      <c r="E1049" s="26">
        <f>VLOOKUP(5475,季財報!$A:$H,8,0)</f>
        <v>0</v>
      </c>
      <c r="F1049" s="184">
        <v>-1.1791666666666667E-2</v>
      </c>
      <c r="G1049" s="54">
        <v>856710526.31578946</v>
      </c>
      <c r="H1049" s="54">
        <v>2478600000</v>
      </c>
      <c r="I1049" s="66">
        <v>0.34564291386903473</v>
      </c>
      <c r="J1049" s="186">
        <v>0</v>
      </c>
    </row>
    <row r="1050" spans="1:10">
      <c r="A1050" s="65">
        <v>5478</v>
      </c>
      <c r="B1050" s="52">
        <v>0.43</v>
      </c>
      <c r="C1050" s="184">
        <v>0.4838709677419355</v>
      </c>
      <c r="D1050" s="181">
        <v>127906976.74418604</v>
      </c>
      <c r="E1050" s="26">
        <f>VLOOKUP(5478,季財報!$A:$H,8,0)</f>
        <v>0</v>
      </c>
      <c r="F1050" s="184">
        <v>1.4874999999999999E-2</v>
      </c>
      <c r="G1050" s="54">
        <v>7687209302.3255816</v>
      </c>
      <c r="H1050" s="54">
        <v>14927581000</v>
      </c>
      <c r="I1050" s="66">
        <v>0.51496684575522189</v>
      </c>
      <c r="J1050" s="186">
        <v>50</v>
      </c>
    </row>
    <row r="1051" spans="1:10">
      <c r="A1051" s="65">
        <v>5480</v>
      </c>
      <c r="B1051" s="52">
        <v>0.28999999999999998</v>
      </c>
      <c r="C1051" s="184">
        <v>0.68421052631578949</v>
      </c>
      <c r="D1051" s="181">
        <v>200000000</v>
      </c>
      <c r="E1051" s="26">
        <f>VLOOKUP(5480,季財報!$A:$H,8,0)</f>
        <v>0</v>
      </c>
      <c r="F1051" s="184">
        <v>8.8999999999999965E-3</v>
      </c>
      <c r="G1051" s="54">
        <v>2280000000</v>
      </c>
      <c r="H1051" s="54">
        <v>6105395000</v>
      </c>
      <c r="I1051" s="66">
        <v>0.37344021148508821</v>
      </c>
      <c r="J1051" s="186">
        <v>14.363395225464192</v>
      </c>
    </row>
    <row r="1052" spans="1:10">
      <c r="A1052" s="65">
        <v>5481</v>
      </c>
      <c r="B1052" s="52">
        <v>-0.26</v>
      </c>
      <c r="C1052" s="184">
        <v>0.69620253164556967</v>
      </c>
      <c r="D1052" s="181">
        <v>100000000</v>
      </c>
      <c r="E1052" s="26">
        <f>VLOOKUP(5481,季財報!$A:$H,8,0)</f>
        <v>0</v>
      </c>
      <c r="F1052" s="184">
        <v>-0.23810000000000001</v>
      </c>
      <c r="G1052" s="54">
        <v>1545000000</v>
      </c>
      <c r="H1052" s="54">
        <v>104821000</v>
      </c>
      <c r="I1052" s="66">
        <v>10</v>
      </c>
      <c r="J1052" s="186">
        <v>0</v>
      </c>
    </row>
    <row r="1053" spans="1:10">
      <c r="A1053" s="65">
        <v>5483</v>
      </c>
      <c r="B1053" s="52">
        <v>0.5</v>
      </c>
      <c r="C1053" s="184">
        <v>0</v>
      </c>
      <c r="D1053" s="181">
        <v>584000000</v>
      </c>
      <c r="E1053" s="26">
        <f>VLOOKUP(5483,季財報!$A:$H,8,0)</f>
        <v>0</v>
      </c>
      <c r="F1053" s="184">
        <v>-1.9999999999999996E-3</v>
      </c>
      <c r="G1053" s="54">
        <v>25812800000</v>
      </c>
      <c r="H1053" s="54">
        <v>28478082000</v>
      </c>
      <c r="I1053" s="66">
        <v>0.90640935720319926</v>
      </c>
      <c r="J1053" s="186">
        <v>0</v>
      </c>
    </row>
    <row r="1054" spans="1:10">
      <c r="A1054" s="65">
        <v>5484</v>
      </c>
      <c r="B1054" s="52">
        <v>-0.25</v>
      </c>
      <c r="C1054" s="184">
        <v>1</v>
      </c>
      <c r="D1054" s="181">
        <v>116000000</v>
      </c>
      <c r="E1054" s="26">
        <f>VLOOKUP(5484,季財報!$A:$H,8,0)</f>
        <v>0</v>
      </c>
      <c r="F1054" s="184">
        <v>2.769166666666666E-2</v>
      </c>
      <c r="G1054" s="54">
        <v>504599999.99999994</v>
      </c>
      <c r="H1054" s="54">
        <v>1224848000</v>
      </c>
      <c r="I1054" s="66">
        <v>0.41196948519326476</v>
      </c>
      <c r="J1054" s="186">
        <v>0</v>
      </c>
    </row>
    <row r="1055" spans="1:10">
      <c r="A1055" s="65">
        <v>5487</v>
      </c>
      <c r="B1055" s="52">
        <v>0.47</v>
      </c>
      <c r="C1055" s="184">
        <v>0.57894736842105265</v>
      </c>
      <c r="D1055" s="181">
        <v>21276595.744680852</v>
      </c>
      <c r="E1055" s="26">
        <f>VLOOKUP(5487,季財報!$A:$H,8,0)</f>
        <v>0</v>
      </c>
      <c r="F1055" s="184">
        <v>6.4133333333333334E-2</v>
      </c>
      <c r="G1055" s="54">
        <v>434042553.19148934</v>
      </c>
      <c r="H1055" s="54">
        <v>314853000</v>
      </c>
      <c r="I1055" s="66">
        <v>1.3785561934982018</v>
      </c>
      <c r="J1055" s="186">
        <v>18.742746615087039</v>
      </c>
    </row>
    <row r="1056" spans="1:10">
      <c r="A1056" s="65">
        <v>5488</v>
      </c>
      <c r="B1056" s="52">
        <v>-0.42</v>
      </c>
      <c r="C1056" s="184">
        <v>1</v>
      </c>
      <c r="D1056" s="181">
        <v>90476190.476190478</v>
      </c>
      <c r="E1056" s="26">
        <f>VLOOKUP(5488,季財報!$A:$H,8,0)</f>
        <v>0</v>
      </c>
      <c r="F1056" s="184">
        <v>5.8691666666666663E-2</v>
      </c>
      <c r="G1056" s="54">
        <v>529285714.28571427</v>
      </c>
      <c r="H1056" s="54">
        <v>2017829000</v>
      </c>
      <c r="I1056" s="66">
        <v>0.2623045432916834</v>
      </c>
      <c r="J1056" s="186">
        <v>0</v>
      </c>
    </row>
    <row r="1057" spans="1:10">
      <c r="A1057" s="65">
        <v>5489</v>
      </c>
      <c r="B1057" s="52">
        <v>1.7</v>
      </c>
      <c r="C1057" s="184">
        <v>0.7076271186440678</v>
      </c>
      <c r="D1057" s="181">
        <v>100000000</v>
      </c>
      <c r="E1057" s="26">
        <f>VLOOKUP(5489,季財報!$A:$H,8,0)</f>
        <v>0</v>
      </c>
      <c r="F1057" s="184">
        <v>-1.2249999999999999E-2</v>
      </c>
      <c r="G1057" s="54">
        <v>5130000000</v>
      </c>
      <c r="H1057" s="54">
        <v>2390824000</v>
      </c>
      <c r="I1057" s="66">
        <v>2.1457037406350281</v>
      </c>
      <c r="J1057" s="186">
        <v>10.66114829165199</v>
      </c>
    </row>
    <row r="1058" spans="1:10">
      <c r="A1058" s="65">
        <v>5490</v>
      </c>
      <c r="B1058" s="52">
        <v>0.82</v>
      </c>
      <c r="C1058" s="184">
        <v>0.92700729927007297</v>
      </c>
      <c r="D1058" s="181">
        <v>95121951.219512194</v>
      </c>
      <c r="E1058" s="26">
        <f>VLOOKUP(5490,季財報!$A:$H,8,0)</f>
        <v>0</v>
      </c>
      <c r="F1058" s="184">
        <v>0.17689999999999997</v>
      </c>
      <c r="G1058" s="54">
        <v>7333902439.0243893</v>
      </c>
      <c r="H1058" s="54">
        <v>3041892000</v>
      </c>
      <c r="I1058" s="66">
        <v>2.4109673976013579</v>
      </c>
      <c r="J1058" s="186">
        <v>25.356971384674477</v>
      </c>
    </row>
    <row r="1059" spans="1:10">
      <c r="A1059" s="65">
        <v>5491</v>
      </c>
      <c r="B1059" s="52">
        <v>-0.17</v>
      </c>
      <c r="C1059" s="184">
        <v>0.71098265895953761</v>
      </c>
      <c r="D1059" s="181">
        <v>211764705.88235292</v>
      </c>
      <c r="E1059" s="26">
        <f>VLOOKUP(5491,季財報!$A:$H,8,0)</f>
        <v>0</v>
      </c>
      <c r="F1059" s="184">
        <v>-6.5000000000000127E-4</v>
      </c>
      <c r="G1059" s="54">
        <v>1535294117.6470587</v>
      </c>
      <c r="H1059" s="54">
        <v>8249914000</v>
      </c>
      <c r="I1059" s="66">
        <v>0.18609819661720822</v>
      </c>
      <c r="J1059" s="186">
        <v>0</v>
      </c>
    </row>
    <row r="1060" spans="1:10">
      <c r="A1060" s="65">
        <v>5493</v>
      </c>
      <c r="B1060" s="52">
        <v>0.84</v>
      </c>
      <c r="C1060" s="184">
        <v>0.79347826086956519</v>
      </c>
      <c r="D1060" s="181">
        <v>44047619.047619052</v>
      </c>
      <c r="E1060" s="26">
        <f>VLOOKUP(5493,季財報!$A:$H,8,0)</f>
        <v>0</v>
      </c>
      <c r="F1060" s="184">
        <v>4.435833333333334E-2</v>
      </c>
      <c r="G1060" s="54">
        <v>1546071428.5714288</v>
      </c>
      <c r="H1060" s="54">
        <v>2248958000</v>
      </c>
      <c r="I1060" s="66">
        <v>0.68746122807603738</v>
      </c>
      <c r="J1060" s="186">
        <v>13.16536203522505</v>
      </c>
    </row>
    <row r="1061" spans="1:10">
      <c r="A1061" s="65">
        <v>5498</v>
      </c>
      <c r="B1061" s="52">
        <v>-0.03</v>
      </c>
      <c r="C1061" s="184">
        <v>0</v>
      </c>
      <c r="D1061" s="181">
        <v>133333333.33333334</v>
      </c>
      <c r="E1061" s="26">
        <f>VLOOKUP(5498,季財報!$A:$H,8,0)</f>
        <v>0</v>
      </c>
      <c r="F1061" s="184">
        <v>-3.1075000000000002E-2</v>
      </c>
      <c r="G1061" s="54">
        <v>1194666666.666667</v>
      </c>
      <c r="H1061" s="54">
        <v>940075000</v>
      </c>
      <c r="I1061" s="66">
        <v>1.2708205905557184</v>
      </c>
      <c r="J1061" s="186">
        <v>0</v>
      </c>
    </row>
    <row r="1062" spans="1:10">
      <c r="A1062" s="65">
        <v>5506</v>
      </c>
      <c r="B1062" s="52">
        <v>-1.64</v>
      </c>
      <c r="C1062" s="184">
        <v>0.12840466926070038</v>
      </c>
      <c r="D1062" s="181">
        <v>152439024.39024392</v>
      </c>
      <c r="E1062" s="26">
        <f>VLOOKUP(5506,季財報!$A:$H,8,0)</f>
        <v>0</v>
      </c>
      <c r="F1062" s="184">
        <v>-4.6883333333333312E-2</v>
      </c>
      <c r="G1062" s="54">
        <v>71646341.463414639</v>
      </c>
      <c r="H1062" s="54">
        <v>3769969000</v>
      </c>
      <c r="I1062" s="66">
        <v>1.9004490876029654E-2</v>
      </c>
      <c r="J1062" s="186">
        <v>0</v>
      </c>
    </row>
    <row r="1063" spans="1:10">
      <c r="A1063" s="65">
        <v>5508</v>
      </c>
      <c r="B1063" s="52">
        <v>0.56000000000000005</v>
      </c>
      <c r="C1063" s="184">
        <v>1</v>
      </c>
      <c r="D1063" s="181">
        <v>216071428.57142854</v>
      </c>
      <c r="E1063" s="26">
        <f>VLOOKUP(5508,季財報!$A:$H,8,0)</f>
        <v>0</v>
      </c>
      <c r="F1063" s="184">
        <v>0.2784416666666667</v>
      </c>
      <c r="G1063" s="54">
        <v>6125624999.999999</v>
      </c>
      <c r="H1063" s="54">
        <v>1931471000</v>
      </c>
      <c r="I1063" s="66">
        <v>3.1714817359411551</v>
      </c>
      <c r="J1063" s="186">
        <v>12.65625</v>
      </c>
    </row>
    <row r="1064" spans="1:10">
      <c r="A1064" s="65">
        <v>5511</v>
      </c>
      <c r="B1064" s="52">
        <v>0.34</v>
      </c>
      <c r="C1064" s="184">
        <v>0.82222222222222219</v>
      </c>
      <c r="D1064" s="181">
        <v>150000000</v>
      </c>
      <c r="E1064" s="26">
        <f>VLOOKUP(5511,季財報!$A:$H,8,0)</f>
        <v>0</v>
      </c>
      <c r="F1064" s="184">
        <v>0.16243333333333335</v>
      </c>
      <c r="G1064" s="54">
        <v>3705000000</v>
      </c>
      <c r="H1064" s="54">
        <v>4443514000</v>
      </c>
      <c r="I1064" s="66">
        <v>0.83379955593703536</v>
      </c>
      <c r="J1064" s="186">
        <v>22.088632750397455</v>
      </c>
    </row>
    <row r="1065" spans="1:10">
      <c r="A1065" s="65">
        <v>5512</v>
      </c>
      <c r="B1065" s="52">
        <v>-0.06</v>
      </c>
      <c r="C1065" s="184">
        <v>0.60447761194029848</v>
      </c>
      <c r="D1065" s="181">
        <v>750000000</v>
      </c>
      <c r="E1065" s="26">
        <f>VLOOKUP(5512,季財報!$A:$H,8,0)</f>
        <v>0</v>
      </c>
      <c r="F1065" s="184">
        <v>-3.9166666666666283E-4</v>
      </c>
      <c r="G1065" s="54">
        <v>7020000000</v>
      </c>
      <c r="H1065" s="54">
        <v>1880627000</v>
      </c>
      <c r="I1065" s="66">
        <v>3.7327976254727813</v>
      </c>
      <c r="J1065" s="186">
        <v>0</v>
      </c>
    </row>
    <row r="1066" spans="1:10">
      <c r="A1066" s="65">
        <v>5514</v>
      </c>
      <c r="B1066" s="52">
        <v>-0.21</v>
      </c>
      <c r="C1066" s="184">
        <v>0.32692307692307693</v>
      </c>
      <c r="D1066" s="181">
        <v>166666666.66666669</v>
      </c>
      <c r="E1066" s="26">
        <f>VLOOKUP(5514,季財報!$A:$H,8,0)</f>
        <v>0</v>
      </c>
      <c r="F1066" s="184">
        <v>-3.2850000000000004E-2</v>
      </c>
      <c r="G1066" s="54">
        <v>1900000000.0000002</v>
      </c>
      <c r="H1066" s="54">
        <v>95067000</v>
      </c>
      <c r="I1066" s="66">
        <v>10</v>
      </c>
      <c r="J1066" s="186">
        <v>0</v>
      </c>
    </row>
    <row r="1067" spans="1:10">
      <c r="A1067" s="65">
        <v>5515</v>
      </c>
      <c r="B1067" s="52">
        <v>-0.18</v>
      </c>
      <c r="C1067" s="184">
        <v>0.39285714285714285</v>
      </c>
      <c r="D1067" s="181">
        <v>344444444.44444448</v>
      </c>
      <c r="E1067" s="26">
        <f>VLOOKUP(5515,季財報!$A:$H,8,0)</f>
        <v>0</v>
      </c>
      <c r="F1067" s="184">
        <v>-2.8916666666666674E-3</v>
      </c>
      <c r="G1067" s="54">
        <v>3034555555.5555558</v>
      </c>
      <c r="H1067" s="54">
        <v>5272482000</v>
      </c>
      <c r="I1067" s="66">
        <v>0.57554592989706854</v>
      </c>
      <c r="J1067" s="186">
        <v>0</v>
      </c>
    </row>
    <row r="1068" spans="1:10">
      <c r="A1068" s="65">
        <v>5516</v>
      </c>
      <c r="B1068" s="52">
        <v>-0.11</v>
      </c>
      <c r="C1068" s="184">
        <v>0</v>
      </c>
      <c r="D1068" s="181">
        <v>36363636.363636367</v>
      </c>
      <c r="E1068" s="26">
        <f>VLOOKUP(5516,季財報!$A:$H,8,0)</f>
        <v>0</v>
      </c>
      <c r="F1068" s="184">
        <v>0.23480000000000001</v>
      </c>
      <c r="G1068" s="54">
        <v>361090909.09090912</v>
      </c>
      <c r="H1068" s="54">
        <v>525390000</v>
      </c>
      <c r="I1068" s="66">
        <v>0.68728165570511268</v>
      </c>
      <c r="J1068" s="186">
        <v>0</v>
      </c>
    </row>
    <row r="1069" spans="1:10">
      <c r="A1069" s="65">
        <v>5519</v>
      </c>
      <c r="B1069" s="52">
        <v>0.44</v>
      </c>
      <c r="C1069" s="184">
        <v>0.97701149425287359</v>
      </c>
      <c r="D1069" s="181">
        <v>181818181.81818181</v>
      </c>
      <c r="E1069" s="26">
        <f>VLOOKUP(5519,季財報!$A:$H,8,0)</f>
        <v>0</v>
      </c>
      <c r="F1069" s="184">
        <v>3.3250000000000016E-2</v>
      </c>
      <c r="G1069" s="54">
        <v>2436363636.3636365</v>
      </c>
      <c r="H1069" s="54">
        <v>2760366000</v>
      </c>
      <c r="I1069" s="66">
        <v>0.88262340441942722</v>
      </c>
      <c r="J1069" s="186">
        <v>7.7927807486631018</v>
      </c>
    </row>
    <row r="1070" spans="1:10">
      <c r="A1070" s="65">
        <v>5520</v>
      </c>
      <c r="B1070" s="52">
        <v>0.49</v>
      </c>
      <c r="C1070" s="184">
        <v>0.58536585365853655</v>
      </c>
      <c r="D1070" s="181">
        <v>71428571.428571433</v>
      </c>
      <c r="E1070" s="26">
        <f>VLOOKUP(5520,季財報!$A:$H,8,0)</f>
        <v>0</v>
      </c>
      <c r="F1070" s="184">
        <v>1.1883333333333334E-2</v>
      </c>
      <c r="G1070" s="54">
        <v>1928571428.5714288</v>
      </c>
      <c r="H1070" s="54">
        <v>2320468000</v>
      </c>
      <c r="I1070" s="66">
        <v>0.8311131325971437</v>
      </c>
      <c r="J1070" s="186">
        <v>23.533163265306126</v>
      </c>
    </row>
    <row r="1071" spans="1:10">
      <c r="A1071" s="65">
        <v>5521</v>
      </c>
      <c r="B1071" s="52">
        <v>-0.1</v>
      </c>
      <c r="C1071" s="184">
        <v>1</v>
      </c>
      <c r="D1071" s="181">
        <v>340000000</v>
      </c>
      <c r="E1071" s="26">
        <f>VLOOKUP(5521,季財報!$A:$H,8,0)</f>
        <v>0</v>
      </c>
      <c r="F1071" s="184">
        <v>2.3333333333333331E-2</v>
      </c>
      <c r="G1071" s="54">
        <v>3842000000.0000005</v>
      </c>
      <c r="H1071" s="54">
        <v>6735591000</v>
      </c>
      <c r="I1071" s="66">
        <v>0.57040280503967666</v>
      </c>
      <c r="J1071" s="186">
        <v>0</v>
      </c>
    </row>
    <row r="1072" spans="1:10">
      <c r="A1072" s="65">
        <v>5522</v>
      </c>
      <c r="B1072" s="52">
        <v>1.4</v>
      </c>
      <c r="C1072" s="184">
        <v>0.89178294573643413</v>
      </c>
      <c r="D1072" s="181">
        <v>838571428.57142866</v>
      </c>
      <c r="E1072" s="26">
        <f>VLOOKUP(5522,季財報!$A:$H,8,0)</f>
        <v>0</v>
      </c>
      <c r="F1072" s="184">
        <v>1.5275000000000001</v>
      </c>
      <c r="G1072" s="54">
        <v>30062785714.285717</v>
      </c>
      <c r="H1072" s="54">
        <v>28898991000</v>
      </c>
      <c r="I1072" s="66">
        <v>1.0402711193025984</v>
      </c>
      <c r="J1072" s="186">
        <v>7.1786366232863106</v>
      </c>
    </row>
    <row r="1073" spans="1:10">
      <c r="A1073" s="65">
        <v>5523</v>
      </c>
      <c r="B1073" s="52">
        <v>-0.2</v>
      </c>
      <c r="C1073" s="184">
        <v>0.55319148936170215</v>
      </c>
      <c r="D1073" s="181">
        <v>115000000</v>
      </c>
      <c r="E1073" s="26">
        <f>VLOOKUP(5523,季財報!$A:$H,8,0)</f>
        <v>0</v>
      </c>
      <c r="F1073" s="184">
        <v>154.99079166666664</v>
      </c>
      <c r="G1073" s="54">
        <v>920000000</v>
      </c>
      <c r="H1073" s="54">
        <v>1634059000</v>
      </c>
      <c r="I1073" s="66">
        <v>0.56301516652703487</v>
      </c>
      <c r="J1073" s="186">
        <v>0</v>
      </c>
    </row>
    <row r="1074" spans="1:10">
      <c r="A1074" s="65">
        <v>5525</v>
      </c>
      <c r="B1074" s="52">
        <v>0.52</v>
      </c>
      <c r="C1074" s="184">
        <v>1</v>
      </c>
      <c r="D1074" s="181">
        <v>242307692.30769229</v>
      </c>
      <c r="E1074" s="26">
        <f>VLOOKUP(5525,季財報!$A:$H,8,0)</f>
        <v>0</v>
      </c>
      <c r="F1074" s="184">
        <v>1.0185416666666667</v>
      </c>
      <c r="G1074" s="54">
        <v>3961730769.2307692</v>
      </c>
      <c r="H1074" s="54">
        <v>4926367000</v>
      </c>
      <c r="I1074" s="66">
        <v>0.80418912542057241</v>
      </c>
      <c r="J1074" s="186">
        <v>7.8605769230769234</v>
      </c>
    </row>
    <row r="1075" spans="1:10">
      <c r="A1075" s="65">
        <v>5529</v>
      </c>
      <c r="B1075" s="52">
        <v>-0.24</v>
      </c>
      <c r="C1075" s="184">
        <v>0.86046511627906974</v>
      </c>
      <c r="D1075" s="181">
        <v>104166666.66666667</v>
      </c>
      <c r="E1075" s="26">
        <f>VLOOKUP(5529,季財報!$A:$H,8,0)</f>
        <v>0</v>
      </c>
      <c r="F1075" s="184">
        <v>15.892125</v>
      </c>
      <c r="G1075" s="54">
        <v>883333333.33333337</v>
      </c>
      <c r="H1075" s="54">
        <v>57319000</v>
      </c>
      <c r="I1075" s="66">
        <v>10</v>
      </c>
      <c r="J1075" s="186">
        <v>0</v>
      </c>
    </row>
    <row r="1076" spans="1:10">
      <c r="A1076" s="65">
        <v>5530</v>
      </c>
      <c r="B1076" s="52">
        <v>1.05</v>
      </c>
      <c r="C1076" s="184">
        <v>0.82440476190476186</v>
      </c>
      <c r="D1076" s="181">
        <v>400000000</v>
      </c>
      <c r="E1076" s="26">
        <f>VLOOKUP(5530,季財報!$A:$H,8,0)</f>
        <v>0</v>
      </c>
      <c r="F1076" s="184">
        <v>-4.3325000000000002E-2</v>
      </c>
      <c r="G1076" s="54">
        <v>25720000000</v>
      </c>
      <c r="H1076" s="54">
        <v>4067234000</v>
      </c>
      <c r="I1076" s="66">
        <v>6.323707954841054</v>
      </c>
      <c r="J1076" s="186">
        <v>18.570397111913358</v>
      </c>
    </row>
    <row r="1077" spans="1:10">
      <c r="A1077" s="65">
        <v>5531</v>
      </c>
      <c r="B1077" s="52">
        <v>0.08</v>
      </c>
      <c r="C1077" s="184">
        <v>1</v>
      </c>
      <c r="D1077" s="181">
        <v>912500000</v>
      </c>
      <c r="E1077" s="26">
        <f>VLOOKUP(5531,季財報!$A:$H,8,0)</f>
        <v>0</v>
      </c>
      <c r="F1077" s="184">
        <v>0.34552500000000003</v>
      </c>
      <c r="G1077" s="54">
        <v>10493750000</v>
      </c>
      <c r="H1077" s="54">
        <v>2529983000</v>
      </c>
      <c r="I1077" s="66">
        <v>4.1477551430187471</v>
      </c>
      <c r="J1077" s="186">
        <v>35.9375</v>
      </c>
    </row>
    <row r="1078" spans="1:10">
      <c r="A1078" s="65">
        <v>5533</v>
      </c>
      <c r="B1078" s="52">
        <v>0.34</v>
      </c>
      <c r="C1078" s="184">
        <v>1</v>
      </c>
      <c r="D1078" s="181">
        <v>267647058.82352939</v>
      </c>
      <c r="E1078" s="26">
        <f>VLOOKUP(5533,季財報!$A:$H,8,0)</f>
        <v>0</v>
      </c>
      <c r="F1078" s="184">
        <v>0.82044166666666685</v>
      </c>
      <c r="G1078" s="54">
        <v>4536617647.0588226</v>
      </c>
      <c r="H1078" s="54">
        <v>2838119000</v>
      </c>
      <c r="I1078" s="66">
        <v>1.5984592778029472</v>
      </c>
      <c r="J1078" s="186">
        <v>12.463235294117645</v>
      </c>
    </row>
    <row r="1079" spans="1:10">
      <c r="A1079" s="65">
        <v>5534</v>
      </c>
      <c r="B1079" s="52">
        <v>1.28</v>
      </c>
      <c r="C1079" s="184">
        <v>1</v>
      </c>
      <c r="D1079" s="181">
        <v>273437500</v>
      </c>
      <c r="E1079" s="26">
        <f>VLOOKUP(5534,季財報!$A:$H,8,0)</f>
        <v>0</v>
      </c>
      <c r="F1079" s="184">
        <v>0.1213166666666667</v>
      </c>
      <c r="G1079" s="54">
        <v>12099609375</v>
      </c>
      <c r="H1079" s="54">
        <v>3636459000</v>
      </c>
      <c r="I1079" s="66">
        <v>3.3273053195429951</v>
      </c>
      <c r="J1079" s="186">
        <v>8.642578125</v>
      </c>
    </row>
    <row r="1080" spans="1:10">
      <c r="A1080" s="65">
        <v>5536</v>
      </c>
      <c r="B1080" s="52">
        <v>2.02</v>
      </c>
      <c r="C1080" s="184">
        <v>0.87449392712550611</v>
      </c>
      <c r="D1080" s="181">
        <v>46039603.960396037</v>
      </c>
      <c r="E1080" s="26">
        <f>VLOOKUP(5536,季財報!$A:$H,8,0)</f>
        <v>0</v>
      </c>
      <c r="F1080" s="184">
        <v>6.8183333333333374E-2</v>
      </c>
      <c r="G1080" s="54">
        <v>4079108910.8910885</v>
      </c>
      <c r="H1080" s="54">
        <v>8250348000</v>
      </c>
      <c r="I1080" s="66">
        <v>0.49441658835373836</v>
      </c>
      <c r="J1080" s="186">
        <v>12.539076824349101</v>
      </c>
    </row>
    <row r="1081" spans="1:10">
      <c r="A1081" s="65">
        <v>5538</v>
      </c>
      <c r="B1081" s="52">
        <v>0.31</v>
      </c>
      <c r="C1081" s="184">
        <v>1</v>
      </c>
      <c r="D1081" s="181">
        <v>164516129.03225806</v>
      </c>
      <c r="E1081" s="26">
        <f>VLOOKUP(5538,季財報!$A:$H,8,0)</f>
        <v>0</v>
      </c>
      <c r="F1081" s="184">
        <v>1.5466666666666672E-2</v>
      </c>
      <c r="G1081" s="54">
        <v>4392580645.1612902</v>
      </c>
      <c r="H1081" s="54">
        <v>6135669000</v>
      </c>
      <c r="I1081" s="66">
        <v>0.71590899788780815</v>
      </c>
      <c r="J1081" s="186">
        <v>21.532258064516128</v>
      </c>
    </row>
    <row r="1082" spans="1:10">
      <c r="A1082" s="65">
        <v>5601</v>
      </c>
      <c r="B1082" s="52">
        <v>0.09</v>
      </c>
      <c r="C1082" s="184">
        <v>1</v>
      </c>
      <c r="D1082" s="181">
        <v>66666666.666666672</v>
      </c>
      <c r="E1082" s="26">
        <f>VLOOKUP(5601,季財報!$A:$H,8,0)</f>
        <v>0</v>
      </c>
      <c r="F1082" s="184">
        <v>4.1916666666666665E-3</v>
      </c>
      <c r="G1082" s="54">
        <v>1760000000</v>
      </c>
      <c r="H1082" s="54">
        <v>75425000</v>
      </c>
      <c r="I1082" s="66">
        <v>10</v>
      </c>
      <c r="J1082" s="186">
        <v>50</v>
      </c>
    </row>
    <row r="1083" spans="1:10">
      <c r="A1083" s="65">
        <v>5603</v>
      </c>
      <c r="B1083" s="52">
        <v>0.48</v>
      </c>
      <c r="C1083" s="184">
        <v>1</v>
      </c>
      <c r="D1083" s="181">
        <v>77083333.333333343</v>
      </c>
      <c r="E1083" s="26">
        <f>VLOOKUP(5603,季財報!$A:$H,8,0)</f>
        <v>0</v>
      </c>
      <c r="F1083" s="184">
        <v>1.0416666666666688E-3</v>
      </c>
      <c r="G1083" s="54">
        <v>1190937500</v>
      </c>
      <c r="H1083" s="54">
        <v>2118109000</v>
      </c>
      <c r="I1083" s="66">
        <v>0.56226450102426273</v>
      </c>
      <c r="J1083" s="186">
        <v>8.046875</v>
      </c>
    </row>
    <row r="1084" spans="1:10">
      <c r="A1084" s="65">
        <v>5604</v>
      </c>
      <c r="B1084" s="52">
        <v>0.28000000000000003</v>
      </c>
      <c r="C1084" s="184">
        <v>0.96969696969696972</v>
      </c>
      <c r="D1084" s="181">
        <v>110714285.7142857</v>
      </c>
      <c r="E1084" s="26">
        <f>VLOOKUP(5604,季財報!$A:$H,8,0)</f>
        <v>0</v>
      </c>
      <c r="F1084" s="184">
        <v>4.3416666666666699E-3</v>
      </c>
      <c r="G1084" s="54">
        <v>3941428571.4285712</v>
      </c>
      <c r="H1084" s="54">
        <v>1462638000</v>
      </c>
      <c r="I1084" s="66">
        <v>2.6947396221269866</v>
      </c>
      <c r="J1084" s="186">
        <v>32.779017857142854</v>
      </c>
    </row>
    <row r="1085" spans="1:10">
      <c r="A1085" s="65">
        <v>5607</v>
      </c>
      <c r="B1085" s="52">
        <v>0.36</v>
      </c>
      <c r="C1085" s="184">
        <v>1</v>
      </c>
      <c r="D1085" s="181">
        <v>169444444.44444445</v>
      </c>
      <c r="E1085" s="26">
        <f>VLOOKUP(5607,季財報!$A:$H,8,0)</f>
        <v>0</v>
      </c>
      <c r="F1085" s="184">
        <v>4.3916666666666626E-3</v>
      </c>
      <c r="G1085" s="54">
        <v>2584027777.7777777</v>
      </c>
      <c r="H1085" s="54">
        <v>1270443000</v>
      </c>
      <c r="I1085" s="66">
        <v>2.0339580585494805</v>
      </c>
      <c r="J1085" s="186">
        <v>10.590277777777779</v>
      </c>
    </row>
    <row r="1086" spans="1:10">
      <c r="A1086" s="65">
        <v>5608</v>
      </c>
      <c r="B1086" s="52">
        <v>0.01</v>
      </c>
      <c r="C1086" s="184">
        <v>0</v>
      </c>
      <c r="D1086" s="181">
        <v>300000000</v>
      </c>
      <c r="E1086" s="26">
        <f>VLOOKUP(5608,季財報!$A:$H,8,0)</f>
        <v>0</v>
      </c>
      <c r="F1086" s="184">
        <v>-9.7666666666666648E-3</v>
      </c>
      <c r="G1086" s="54">
        <v>3690000000</v>
      </c>
      <c r="H1086" s="54">
        <v>4540408000</v>
      </c>
      <c r="I1086" s="66">
        <v>0.81270229459555177</v>
      </c>
      <c r="J1086" s="186">
        <v>0</v>
      </c>
    </row>
    <row r="1087" spans="1:10">
      <c r="A1087" s="65">
        <v>5609</v>
      </c>
      <c r="B1087" s="52">
        <v>0.17</v>
      </c>
      <c r="C1087" s="184">
        <v>0.85106382978723405</v>
      </c>
      <c r="D1087" s="181">
        <v>129411764.70588234</v>
      </c>
      <c r="E1087" s="26">
        <f>VLOOKUP(5609,季財報!$A:$H,8,0)</f>
        <v>0</v>
      </c>
      <c r="F1087" s="184">
        <v>-9.4999999999999653E-4</v>
      </c>
      <c r="G1087" s="54">
        <v>2277647058.8235292</v>
      </c>
      <c r="H1087" s="54">
        <v>14976568000</v>
      </c>
      <c r="I1087" s="66">
        <v>0.15208070759759706</v>
      </c>
      <c r="J1087" s="186">
        <v>30.411764705882351</v>
      </c>
    </row>
    <row r="1088" spans="1:10">
      <c r="A1088" s="65">
        <v>5701</v>
      </c>
      <c r="B1088" s="52">
        <v>-0.42</v>
      </c>
      <c r="C1088" s="184">
        <v>0.91836734693877553</v>
      </c>
      <c r="D1088" s="181">
        <v>259523809.52380952</v>
      </c>
      <c r="E1088" s="26">
        <f>VLOOKUP(5701,季財報!$A:$H,8,0)</f>
        <v>0</v>
      </c>
      <c r="F1088" s="184">
        <v>1.8925000000000001E-2</v>
      </c>
      <c r="G1088" s="54">
        <v>887571428.57142854</v>
      </c>
      <c r="H1088" s="54">
        <v>1547071000</v>
      </c>
      <c r="I1088" s="66">
        <v>0.57371085656148202</v>
      </c>
      <c r="J1088" s="186">
        <v>0</v>
      </c>
    </row>
    <row r="1089" spans="1:10">
      <c r="A1089" s="65">
        <v>5703</v>
      </c>
      <c r="B1089" s="52">
        <v>0.08</v>
      </c>
      <c r="C1089" s="184">
        <v>1</v>
      </c>
      <c r="D1089" s="181">
        <v>62500000</v>
      </c>
      <c r="E1089" s="26">
        <f>VLOOKUP(5703,季財報!$A:$H,8,0)</f>
        <v>0</v>
      </c>
      <c r="F1089" s="184">
        <v>7.6666666666666645E-3</v>
      </c>
      <c r="G1089" s="54">
        <v>1362500000</v>
      </c>
      <c r="H1089" s="54">
        <v>1032262000</v>
      </c>
      <c r="I1089" s="66">
        <v>1.3199168428170367</v>
      </c>
      <c r="J1089" s="186">
        <v>50</v>
      </c>
    </row>
    <row r="1090" spans="1:10">
      <c r="A1090" s="65">
        <v>5704</v>
      </c>
      <c r="B1090" s="52">
        <v>0.26</v>
      </c>
      <c r="C1090" s="184">
        <v>0.83333333333333337</v>
      </c>
      <c r="D1090" s="181">
        <v>38461538.461538464</v>
      </c>
      <c r="E1090" s="26">
        <f>VLOOKUP(5704,季財報!$A:$H,8,0)</f>
        <v>0</v>
      </c>
      <c r="F1090" s="184">
        <v>4.4874999999999998E-2</v>
      </c>
      <c r="G1090" s="54">
        <v>1042307692.3076924</v>
      </c>
      <c r="H1090" s="54">
        <v>330788000</v>
      </c>
      <c r="I1090" s="66">
        <v>3.1509839906758783</v>
      </c>
      <c r="J1090" s="186">
        <v>31.26923076923077</v>
      </c>
    </row>
    <row r="1091" spans="1:10">
      <c r="A1091" s="65">
        <v>5706</v>
      </c>
      <c r="B1091" s="52">
        <v>1.33</v>
      </c>
      <c r="C1091" s="184">
        <v>0.59375</v>
      </c>
      <c r="D1091" s="181">
        <v>62406015.037593983</v>
      </c>
      <c r="E1091" s="26">
        <f>VLOOKUP(5706,季財報!$A:$H,8,0)</f>
        <v>0</v>
      </c>
      <c r="F1091" s="184">
        <v>0.1241583333333333</v>
      </c>
      <c r="G1091" s="54">
        <v>2474398496.2406015</v>
      </c>
      <c r="H1091" s="54">
        <v>2893808000</v>
      </c>
      <c r="I1091" s="66">
        <v>0.85506657533623565</v>
      </c>
      <c r="J1091" s="186">
        <v>12.552433715868617</v>
      </c>
    </row>
    <row r="1092" spans="1:10">
      <c r="A1092" s="65">
        <v>5871</v>
      </c>
      <c r="B1092" s="52">
        <v>1.52</v>
      </c>
      <c r="C1092" s="184">
        <v>0.81942425123582441</v>
      </c>
      <c r="D1092" s="181">
        <v>1139473684.2105262</v>
      </c>
      <c r="E1092" s="26">
        <f>VLOOKUP(5871,季財報!$A:$H,8,0)</f>
        <v>0</v>
      </c>
      <c r="F1092" s="184">
        <v>9.233333333333333E-3</v>
      </c>
      <c r="G1092" s="54">
        <v>65861578947.368416</v>
      </c>
      <c r="H1092" s="54">
        <v>35820021000</v>
      </c>
      <c r="I1092" s="66">
        <v>1.8386806347033804</v>
      </c>
      <c r="J1092" s="186">
        <v>11.601534776437187</v>
      </c>
    </row>
    <row r="1093" spans="1:10">
      <c r="A1093" s="65">
        <v>5878</v>
      </c>
      <c r="B1093" s="52">
        <v>1.05</v>
      </c>
      <c r="C1093" s="184">
        <v>0.70270270270270274</v>
      </c>
      <c r="D1093" s="181">
        <v>23809523.80952381</v>
      </c>
      <c r="E1093" s="26">
        <f>VLOOKUP(5878,季財報!$A:$H,8,0)</f>
        <v>0</v>
      </c>
      <c r="F1093" s="184">
        <v>7.8774999999999998E-2</v>
      </c>
      <c r="G1093" s="54">
        <v>0</v>
      </c>
      <c r="H1093" s="54">
        <v>580110000</v>
      </c>
      <c r="I1093" s="66">
        <v>0</v>
      </c>
      <c r="J1093" s="186">
        <v>0</v>
      </c>
    </row>
    <row r="1094" spans="1:10">
      <c r="A1094" s="65">
        <v>5902</v>
      </c>
      <c r="B1094" s="52">
        <v>0.14000000000000001</v>
      </c>
      <c r="C1094" s="184">
        <v>0.6875</v>
      </c>
      <c r="D1094" s="181">
        <v>92857142.857142851</v>
      </c>
      <c r="E1094" s="26">
        <f>VLOOKUP(5902,季財報!$A:$H,8,0)</f>
        <v>0</v>
      </c>
      <c r="F1094" s="184">
        <v>-2.4249999999999988E-3</v>
      </c>
      <c r="G1094" s="54">
        <v>886785714.28571427</v>
      </c>
      <c r="H1094" s="54">
        <v>1946804000</v>
      </c>
      <c r="I1094" s="66">
        <v>0.45550847146693468</v>
      </c>
      <c r="J1094" s="186">
        <v>24.805194805194805</v>
      </c>
    </row>
    <row r="1095" spans="1:10">
      <c r="A1095" s="65">
        <v>5903</v>
      </c>
      <c r="B1095" s="52">
        <v>2.09</v>
      </c>
      <c r="C1095" s="184">
        <v>0.81152460984393759</v>
      </c>
      <c r="D1095" s="181">
        <v>222966507.17703351</v>
      </c>
      <c r="E1095" s="26">
        <f>VLOOKUP(5903,季財報!$A:$H,8,0)</f>
        <v>0</v>
      </c>
      <c r="F1095" s="184">
        <v>5.4749999999999981E-3</v>
      </c>
      <c r="G1095" s="54">
        <v>46154066985.645935</v>
      </c>
      <c r="H1095" s="54">
        <v>57331786000</v>
      </c>
      <c r="I1095" s="66">
        <v>0.8050345228325162</v>
      </c>
      <c r="J1095" s="186">
        <v>30.511416720930896</v>
      </c>
    </row>
    <row r="1096" spans="1:10">
      <c r="A1096" s="65">
        <v>5904</v>
      </c>
      <c r="B1096" s="52">
        <v>2.93</v>
      </c>
      <c r="C1096" s="184">
        <v>0.97736625514403297</v>
      </c>
      <c r="D1096" s="181">
        <v>95221843.003412962</v>
      </c>
      <c r="E1096" s="26">
        <f>VLOOKUP(5904,季財報!$A:$H,8,0)</f>
        <v>0</v>
      </c>
      <c r="F1096" s="184">
        <v>1.5941666666666666E-2</v>
      </c>
      <c r="G1096" s="54">
        <v>31851706484.641636</v>
      </c>
      <c r="H1096" s="54">
        <v>10531782000</v>
      </c>
      <c r="I1096" s="66">
        <v>3.0243416056885373</v>
      </c>
      <c r="J1096" s="186">
        <v>29.20190407760014</v>
      </c>
    </row>
    <row r="1097" spans="1:10">
      <c r="A1097" s="65">
        <v>5905</v>
      </c>
      <c r="B1097" s="52">
        <v>0.22</v>
      </c>
      <c r="C1097" s="184">
        <v>1</v>
      </c>
      <c r="D1097" s="181">
        <v>204545454.54545453</v>
      </c>
      <c r="E1097" s="26">
        <f>VLOOKUP(5905,季財報!$A:$H,8,0)</f>
        <v>0</v>
      </c>
      <c r="F1097" s="184">
        <v>2.5308333333333335E-2</v>
      </c>
      <c r="G1097" s="54">
        <v>1871590909.090909</v>
      </c>
      <c r="H1097" s="54">
        <v>1571771000</v>
      </c>
      <c r="I1097" s="66">
        <v>1.1907529208077443</v>
      </c>
      <c r="J1097" s="186">
        <v>10.397727272727273</v>
      </c>
    </row>
    <row r="1098" spans="1:10">
      <c r="A1098" s="65">
        <v>5906</v>
      </c>
      <c r="B1098" s="52">
        <v>-1.31</v>
      </c>
      <c r="C1098" s="184">
        <v>1</v>
      </c>
      <c r="D1098" s="181">
        <v>96183206.106870219</v>
      </c>
      <c r="E1098" s="26">
        <f>VLOOKUP(5906,季財報!$A:$H,8,0)</f>
        <v>0</v>
      </c>
      <c r="F1098" s="184">
        <v>-2.8874999999999998E-2</v>
      </c>
      <c r="G1098" s="54">
        <v>180824427.48091599</v>
      </c>
      <c r="H1098" s="54">
        <v>1255978000</v>
      </c>
      <c r="I1098" s="66">
        <v>0.14397101500258444</v>
      </c>
      <c r="J1098" s="186">
        <v>0</v>
      </c>
    </row>
    <row r="1099" spans="1:10">
      <c r="A1099" s="65">
        <v>5907</v>
      </c>
      <c r="B1099" s="52">
        <v>-2.48</v>
      </c>
      <c r="C1099" s="184">
        <v>0</v>
      </c>
      <c r="D1099" s="181">
        <v>197580645.16129032</v>
      </c>
      <c r="E1099" s="26">
        <f>VLOOKUP(5907,季財報!$A:$H,8,0)</f>
        <v>0</v>
      </c>
      <c r="F1099" s="184">
        <v>1.3216666666666668E-2</v>
      </c>
      <c r="G1099" s="54">
        <v>6026209677.4193544</v>
      </c>
      <c r="H1099" s="54">
        <v>7607359000</v>
      </c>
      <c r="I1099" s="66">
        <v>0.79215529034706456</v>
      </c>
      <c r="J1099" s="186">
        <v>0</v>
      </c>
    </row>
    <row r="1100" spans="1:10">
      <c r="A1100" s="65">
        <v>6101</v>
      </c>
      <c r="B1100" s="52">
        <v>-0.79</v>
      </c>
      <c r="C1100" s="184">
        <v>1</v>
      </c>
      <c r="D1100" s="181">
        <v>59493670.886075944</v>
      </c>
      <c r="E1100" s="26">
        <f>VLOOKUP(6101,季財報!$A:$H,8,0)</f>
        <v>0</v>
      </c>
      <c r="F1100" s="184">
        <v>6.9999999999998536E-4</v>
      </c>
      <c r="G1100" s="54">
        <v>856708860.75949359</v>
      </c>
      <c r="H1100" s="54">
        <v>594652000</v>
      </c>
      <c r="I1100" s="66">
        <v>1.440689446532583</v>
      </c>
      <c r="J1100" s="186">
        <v>0</v>
      </c>
    </row>
    <row r="1101" spans="1:10">
      <c r="A1101" s="65">
        <v>6103</v>
      </c>
      <c r="B1101" s="52">
        <v>0.05</v>
      </c>
      <c r="C1101" s="184">
        <v>1</v>
      </c>
      <c r="D1101" s="181">
        <v>60000000</v>
      </c>
      <c r="E1101" s="26">
        <f>VLOOKUP(6103,季財報!$A:$H,8,0)</f>
        <v>0</v>
      </c>
      <c r="F1101" s="184">
        <v>0.46415000000000001</v>
      </c>
      <c r="G1101" s="54">
        <v>521999999.99999994</v>
      </c>
      <c r="H1101" s="54">
        <v>361153000</v>
      </c>
      <c r="I1101" s="66">
        <v>1.4453707985258324</v>
      </c>
      <c r="J1101" s="186">
        <v>43.499999999999993</v>
      </c>
    </row>
    <row r="1102" spans="1:10">
      <c r="A1102" s="65">
        <v>6104</v>
      </c>
      <c r="B1102" s="52">
        <v>0.72</v>
      </c>
      <c r="C1102" s="184">
        <v>0.87931034482758619</v>
      </c>
      <c r="D1102" s="181">
        <v>88888888.888888896</v>
      </c>
      <c r="E1102" s="26">
        <f>VLOOKUP(6104,季財報!$A:$H,8,0)</f>
        <v>0</v>
      </c>
      <c r="F1102" s="184">
        <v>-1.4575000000000003E-2</v>
      </c>
      <c r="G1102" s="54">
        <v>3288888888.8888893</v>
      </c>
      <c r="H1102" s="54">
        <v>1868776000</v>
      </c>
      <c r="I1102" s="66">
        <v>1.7599160567606227</v>
      </c>
      <c r="J1102" s="186">
        <v>14.610566448801743</v>
      </c>
    </row>
    <row r="1103" spans="1:10">
      <c r="A1103" s="65">
        <v>6105</v>
      </c>
      <c r="B1103" s="52">
        <v>1.4</v>
      </c>
      <c r="C1103" s="184">
        <v>0.23809523809523808</v>
      </c>
      <c r="D1103" s="181">
        <v>103571428.57142858</v>
      </c>
      <c r="E1103" s="26">
        <f>VLOOKUP(6105,季財報!$A:$H,8,0)</f>
        <v>0</v>
      </c>
      <c r="F1103" s="184">
        <v>-5.7166666666666659E-3</v>
      </c>
      <c r="G1103" s="54">
        <v>4640000000</v>
      </c>
      <c r="H1103" s="54">
        <v>5874476000</v>
      </c>
      <c r="I1103" s="66">
        <v>0.78985768262565037</v>
      </c>
      <c r="J1103" s="186">
        <v>33.6</v>
      </c>
    </row>
    <row r="1104" spans="1:10">
      <c r="A1104" s="65">
        <v>6107</v>
      </c>
      <c r="B1104" s="52">
        <v>1.32</v>
      </c>
      <c r="C1104" s="184">
        <v>0.66666666666666663</v>
      </c>
      <c r="D1104" s="181">
        <v>74242424.242424235</v>
      </c>
      <c r="E1104" s="26">
        <f>VLOOKUP(6107,季財報!$A:$H,8,0)</f>
        <v>0</v>
      </c>
      <c r="F1104" s="184">
        <v>0.13785833333333333</v>
      </c>
      <c r="G1104" s="54">
        <v>5568181818.181818</v>
      </c>
      <c r="H1104" s="54">
        <v>6972934000</v>
      </c>
      <c r="I1104" s="66">
        <v>0.79854216577724935</v>
      </c>
      <c r="J1104" s="186">
        <v>21.306818181818183</v>
      </c>
    </row>
    <row r="1105" spans="1:10">
      <c r="A1105" s="65">
        <v>6108</v>
      </c>
      <c r="B1105" s="52">
        <v>-0.82</v>
      </c>
      <c r="C1105" s="184">
        <v>0</v>
      </c>
      <c r="D1105" s="181">
        <v>160975609.75609758</v>
      </c>
      <c r="E1105" s="26">
        <f>VLOOKUP(6108,季財報!$A:$H,8,0)</f>
        <v>0</v>
      </c>
      <c r="F1105" s="184">
        <v>2.5583333333333313E-3</v>
      </c>
      <c r="G1105" s="54">
        <v>1955853658.5365858</v>
      </c>
      <c r="H1105" s="54">
        <v>7915996000</v>
      </c>
      <c r="I1105" s="66">
        <v>0.24707613022247432</v>
      </c>
      <c r="J1105" s="186">
        <v>0</v>
      </c>
    </row>
    <row r="1106" spans="1:10">
      <c r="A1106" s="65">
        <v>6109</v>
      </c>
      <c r="B1106" s="52">
        <v>0.56000000000000005</v>
      </c>
      <c r="C1106" s="184">
        <v>0.45569620253164556</v>
      </c>
      <c r="D1106" s="181">
        <v>73214285.714285702</v>
      </c>
      <c r="E1106" s="26">
        <f>VLOOKUP(6109,季財報!$A:$H,8,0)</f>
        <v>0</v>
      </c>
      <c r="F1106" s="184">
        <v>3.9450000000000006E-2</v>
      </c>
      <c r="G1106" s="54">
        <v>999374999.99999988</v>
      </c>
      <c r="H1106" s="54">
        <v>2014757000</v>
      </c>
      <c r="I1106" s="66">
        <v>0.49602756064378972</v>
      </c>
      <c r="J1106" s="186">
        <v>13.372395833333332</v>
      </c>
    </row>
    <row r="1107" spans="1:10">
      <c r="A1107" s="65">
        <v>6111</v>
      </c>
      <c r="B1107" s="52">
        <v>2.2599999999999998</v>
      </c>
      <c r="C1107" s="184">
        <v>0.5757575757575758</v>
      </c>
      <c r="D1107" s="181">
        <v>45575221.238938056</v>
      </c>
      <c r="E1107" s="26">
        <f>VLOOKUP(6111,季財報!$A:$H,8,0)</f>
        <v>0</v>
      </c>
      <c r="F1107" s="184">
        <v>0.15049166666666672</v>
      </c>
      <c r="G1107" s="54">
        <v>4229380530.9734516</v>
      </c>
      <c r="H1107" s="54">
        <v>708846000</v>
      </c>
      <c r="I1107" s="66">
        <v>5.9665717673139884</v>
      </c>
      <c r="J1107" s="186">
        <v>17.829529576152769</v>
      </c>
    </row>
    <row r="1108" spans="1:10">
      <c r="A1108" s="65">
        <v>6112</v>
      </c>
      <c r="B1108" s="52">
        <v>0.62</v>
      </c>
      <c r="C1108" s="184">
        <v>0.75206611570247939</v>
      </c>
      <c r="D1108" s="181">
        <v>91935483.870967746</v>
      </c>
      <c r="E1108" s="26">
        <f>VLOOKUP(6112,季財報!$A:$H,8,0)</f>
        <v>0</v>
      </c>
      <c r="F1108" s="184">
        <v>6.3666666666666663E-3</v>
      </c>
      <c r="G1108" s="54">
        <v>2569596774.1935482</v>
      </c>
      <c r="H1108" s="54">
        <v>8481423000</v>
      </c>
      <c r="I1108" s="66">
        <v>0.30296764755083533</v>
      </c>
      <c r="J1108" s="186">
        <v>14.985599078341012</v>
      </c>
    </row>
    <row r="1109" spans="1:10">
      <c r="A1109" s="65">
        <v>6113</v>
      </c>
      <c r="B1109" s="52">
        <v>-0.36</v>
      </c>
      <c r="C1109" s="184">
        <v>0.75510204081632648</v>
      </c>
      <c r="D1109" s="181">
        <v>50000000</v>
      </c>
      <c r="E1109" s="26">
        <f>VLOOKUP(6113,季財報!$A:$H,8,0)</f>
        <v>0</v>
      </c>
      <c r="F1109" s="184">
        <v>2.9200000000000004E-2</v>
      </c>
      <c r="G1109" s="54">
        <v>413500000</v>
      </c>
      <c r="H1109" s="54">
        <v>1640592000</v>
      </c>
      <c r="I1109" s="66">
        <v>0.2520431649063265</v>
      </c>
      <c r="J1109" s="186">
        <v>0</v>
      </c>
    </row>
    <row r="1110" spans="1:10">
      <c r="A1110" s="65">
        <v>6114</v>
      </c>
      <c r="B1110" s="52">
        <v>2.29</v>
      </c>
      <c r="C1110" s="184">
        <v>0.83687943262411346</v>
      </c>
      <c r="D1110" s="181">
        <v>36244541.484716155</v>
      </c>
      <c r="E1110" s="26">
        <f>VLOOKUP(6114,季財報!$A:$H,8,0)</f>
        <v>0</v>
      </c>
      <c r="F1110" s="184">
        <v>2.0166666666666663E-2</v>
      </c>
      <c r="G1110" s="54">
        <v>1993449781.6593885</v>
      </c>
      <c r="H1110" s="54">
        <v>1721581000</v>
      </c>
      <c r="I1110" s="66">
        <v>1.1579180890468637</v>
      </c>
      <c r="J1110" s="186">
        <v>7.1747094959662494</v>
      </c>
    </row>
    <row r="1111" spans="1:10">
      <c r="A1111" s="65">
        <v>6115</v>
      </c>
      <c r="B1111" s="52">
        <v>1.55</v>
      </c>
      <c r="C1111" s="184">
        <v>0.3271276595744681</v>
      </c>
      <c r="D1111" s="181">
        <v>179354838.70967743</v>
      </c>
      <c r="E1111" s="26">
        <f>VLOOKUP(6115,季財報!$A:$H,8,0)</f>
        <v>0</v>
      </c>
      <c r="F1111" s="184">
        <v>1.3949999999999995E-2</v>
      </c>
      <c r="G1111" s="54">
        <v>6053225806.4516134</v>
      </c>
      <c r="H1111" s="54">
        <v>7213420000</v>
      </c>
      <c r="I1111" s="66">
        <v>0.83916170227875453</v>
      </c>
      <c r="J1111" s="186">
        <v>16.640440597954363</v>
      </c>
    </row>
    <row r="1112" spans="1:10">
      <c r="A1112" s="65">
        <v>6116</v>
      </c>
      <c r="B1112" s="52">
        <v>-0.22</v>
      </c>
      <c r="C1112" s="184">
        <v>1</v>
      </c>
      <c r="D1112" s="181">
        <v>3213636363.6363635</v>
      </c>
      <c r="E1112" s="26">
        <f>VLOOKUP(6116,季財報!$A:$H,8,0)</f>
        <v>0</v>
      </c>
      <c r="F1112" s="184">
        <v>-2.3599999999999999E-2</v>
      </c>
      <c r="G1112" s="54">
        <v>12051136363.636364</v>
      </c>
      <c r="H1112" s="54">
        <v>18895279000</v>
      </c>
      <c r="I1112" s="66">
        <v>0.6377855740386984</v>
      </c>
      <c r="J1112" s="186">
        <v>0</v>
      </c>
    </row>
    <row r="1113" spans="1:10">
      <c r="A1113" s="65">
        <v>6117</v>
      </c>
      <c r="B1113" s="52">
        <v>-0.49</v>
      </c>
      <c r="C1113" s="184">
        <v>1</v>
      </c>
      <c r="D1113" s="181">
        <v>87755102.040816322</v>
      </c>
      <c r="E1113" s="26">
        <f>VLOOKUP(6117,季財報!$A:$H,8,0)</f>
        <v>0</v>
      </c>
      <c r="F1113" s="184">
        <v>2.4349999999999993E-2</v>
      </c>
      <c r="G1113" s="54">
        <v>1316326530.6122448</v>
      </c>
      <c r="H1113" s="54">
        <v>2064658000</v>
      </c>
      <c r="I1113" s="66">
        <v>0.63755185149901095</v>
      </c>
      <c r="J1113" s="186">
        <v>0</v>
      </c>
    </row>
    <row r="1114" spans="1:10">
      <c r="A1114" s="65">
        <v>6120</v>
      </c>
      <c r="B1114" s="52">
        <v>-0.23</v>
      </c>
      <c r="C1114" s="184">
        <v>1</v>
      </c>
      <c r="D1114" s="181">
        <v>752173913.04347825</v>
      </c>
      <c r="E1114" s="26">
        <f>VLOOKUP(6120,季財報!$A:$H,8,0)</f>
        <v>0</v>
      </c>
      <c r="F1114" s="184">
        <v>-8.7499999999999991E-3</v>
      </c>
      <c r="G1114" s="54">
        <v>8198695652.173913</v>
      </c>
      <c r="H1114" s="54">
        <v>43953009000</v>
      </c>
      <c r="I1114" s="66">
        <v>0.18653320531875106</v>
      </c>
      <c r="J1114" s="186">
        <v>0</v>
      </c>
    </row>
    <row r="1115" spans="1:10">
      <c r="A1115" s="65">
        <v>6121</v>
      </c>
      <c r="B1115" s="52">
        <v>2.5099999999999998</v>
      </c>
      <c r="C1115" s="184">
        <v>0.72040133779264215</v>
      </c>
      <c r="D1115" s="181">
        <v>307968127.49003989</v>
      </c>
      <c r="E1115" s="26">
        <f>VLOOKUP(6121,季財報!$A:$H,8,0)</f>
        <v>0</v>
      </c>
      <c r="F1115" s="184">
        <v>1.0766666666666669E-2</v>
      </c>
      <c r="G1115" s="54">
        <v>36186254980.079689</v>
      </c>
      <c r="H1115" s="54">
        <v>65898099000</v>
      </c>
      <c r="I1115" s="66">
        <v>0.54912441374188481</v>
      </c>
      <c r="J1115" s="186">
        <v>16.245371346554361</v>
      </c>
    </row>
    <row r="1116" spans="1:10">
      <c r="A1116" s="65">
        <v>6122</v>
      </c>
      <c r="B1116" s="52">
        <v>-0.21</v>
      </c>
      <c r="C1116" s="184">
        <v>0.88888888888888884</v>
      </c>
      <c r="D1116" s="181">
        <v>66666666.666666672</v>
      </c>
      <c r="E1116" s="26">
        <f>VLOOKUP(6122,季財報!$A:$H,8,0)</f>
        <v>0</v>
      </c>
      <c r="F1116" s="184">
        <v>8.8616666666666677E-2</v>
      </c>
      <c r="G1116" s="54">
        <v>434666666.66666669</v>
      </c>
      <c r="H1116" s="54">
        <v>981438000</v>
      </c>
      <c r="I1116" s="66">
        <v>0.44288754528219476</v>
      </c>
      <c r="J1116" s="186">
        <v>0</v>
      </c>
    </row>
    <row r="1117" spans="1:10">
      <c r="A1117" s="65">
        <v>6123</v>
      </c>
      <c r="B1117" s="52">
        <v>0.92</v>
      </c>
      <c r="C1117" s="184">
        <v>0.90277777777777779</v>
      </c>
      <c r="D1117" s="181">
        <v>53260869.565217391</v>
      </c>
      <c r="E1117" s="26">
        <f>VLOOKUP(6123,季財報!$A:$H,8,0)</f>
        <v>0</v>
      </c>
      <c r="F1117" s="184">
        <v>-1.4333333333333327E-3</v>
      </c>
      <c r="G1117" s="54">
        <v>1374130434.7826087</v>
      </c>
      <c r="H1117" s="54">
        <v>3690499000</v>
      </c>
      <c r="I1117" s="66">
        <v>0.37234271971963923</v>
      </c>
      <c r="J1117" s="186">
        <v>7.7658862876254178</v>
      </c>
    </row>
    <row r="1118" spans="1:10">
      <c r="A1118" s="65">
        <v>6124</v>
      </c>
      <c r="B1118" s="52">
        <v>-0.09</v>
      </c>
      <c r="C1118" s="184">
        <v>1</v>
      </c>
      <c r="D1118" s="181">
        <v>177777777.77777779</v>
      </c>
      <c r="E1118" s="26">
        <f>VLOOKUP(6124,季財報!$A:$H,8,0)</f>
        <v>0</v>
      </c>
      <c r="F1118" s="184">
        <v>3.8383333333333332E-2</v>
      </c>
      <c r="G1118" s="54">
        <v>4408888888.8888893</v>
      </c>
      <c r="H1118" s="54">
        <v>1837632000</v>
      </c>
      <c r="I1118" s="66">
        <v>2.3992229613376832</v>
      </c>
      <c r="J1118" s="186">
        <v>0</v>
      </c>
    </row>
    <row r="1119" spans="1:10">
      <c r="A1119" s="65">
        <v>6125</v>
      </c>
      <c r="B1119" s="52">
        <v>7.0000000000000007E-2</v>
      </c>
      <c r="C1119" s="184">
        <v>0</v>
      </c>
      <c r="D1119" s="181">
        <v>257142857.1428571</v>
      </c>
      <c r="E1119" s="26">
        <f>VLOOKUP(6125,季財報!$A:$H,8,0)</f>
        <v>0</v>
      </c>
      <c r="F1119" s="184">
        <v>1.9658333333333337E-2</v>
      </c>
      <c r="G1119" s="54">
        <v>3188571428.5714283</v>
      </c>
      <c r="H1119" s="54">
        <v>10329985000</v>
      </c>
      <c r="I1119" s="66">
        <v>0.30867144807774921</v>
      </c>
      <c r="J1119" s="186">
        <v>0</v>
      </c>
    </row>
    <row r="1120" spans="1:10">
      <c r="A1120" s="65">
        <v>6126</v>
      </c>
      <c r="B1120" s="52">
        <v>-0.09</v>
      </c>
      <c r="C1120" s="184">
        <v>1</v>
      </c>
      <c r="D1120" s="181">
        <v>111111111.11111112</v>
      </c>
      <c r="E1120" s="26">
        <f>VLOOKUP(6126,季財報!$A:$H,8,0)</f>
        <v>0</v>
      </c>
      <c r="F1120" s="184">
        <v>-4.6916666666666678E-3</v>
      </c>
      <c r="G1120" s="54">
        <v>817777777.77777791</v>
      </c>
      <c r="H1120" s="54">
        <v>2931423000</v>
      </c>
      <c r="I1120" s="66">
        <v>0.278969557712339</v>
      </c>
      <c r="J1120" s="186">
        <v>0</v>
      </c>
    </row>
    <row r="1121" spans="1:10">
      <c r="A1121" s="65">
        <v>6127</v>
      </c>
      <c r="B1121" s="52">
        <v>0.03</v>
      </c>
      <c r="C1121" s="184">
        <v>1</v>
      </c>
      <c r="D1121" s="181">
        <v>100000000</v>
      </c>
      <c r="E1121" s="26">
        <f>VLOOKUP(6127,季財報!$A:$H,8,0)</f>
        <v>0</v>
      </c>
      <c r="F1121" s="184">
        <v>-1.8666666666666658E-3</v>
      </c>
      <c r="G1121" s="54">
        <v>971000000.00000012</v>
      </c>
      <c r="H1121" s="54">
        <v>1077209000</v>
      </c>
      <c r="I1121" s="66">
        <v>0.90140353450444632</v>
      </c>
      <c r="J1121" s="186">
        <v>50</v>
      </c>
    </row>
    <row r="1122" spans="1:10">
      <c r="A1122" s="65">
        <v>6128</v>
      </c>
      <c r="B1122" s="52">
        <v>1</v>
      </c>
      <c r="C1122" s="184">
        <v>0.92121212121212126</v>
      </c>
      <c r="D1122" s="181">
        <v>91000000</v>
      </c>
      <c r="E1122" s="26">
        <f>VLOOKUP(6128,季財報!$A:$H,8,0)</f>
        <v>0</v>
      </c>
      <c r="F1122" s="184">
        <v>1.653333333333333E-2</v>
      </c>
      <c r="G1122" s="54">
        <v>3212299999.9999995</v>
      </c>
      <c r="H1122" s="54">
        <v>1912208000</v>
      </c>
      <c r="I1122" s="66">
        <v>1.6798904721662076</v>
      </c>
      <c r="J1122" s="186">
        <v>9.5797697368421044</v>
      </c>
    </row>
    <row r="1123" spans="1:10">
      <c r="A1123" s="65">
        <v>6129</v>
      </c>
      <c r="B1123" s="52">
        <v>-0.09</v>
      </c>
      <c r="C1123" s="184">
        <v>0.64893617021276595</v>
      </c>
      <c r="D1123" s="181">
        <v>177777777.77777779</v>
      </c>
      <c r="E1123" s="26">
        <f>VLOOKUP(6129,季財報!$A:$H,8,0)</f>
        <v>0</v>
      </c>
      <c r="F1123" s="184">
        <v>-2.0416666666666639E-3</v>
      </c>
      <c r="G1123" s="54">
        <v>1310222222.2222223</v>
      </c>
      <c r="H1123" s="54">
        <v>1296347000</v>
      </c>
      <c r="I1123" s="66">
        <v>1.010703324204262</v>
      </c>
      <c r="J1123" s="186">
        <v>0</v>
      </c>
    </row>
    <row r="1124" spans="1:10">
      <c r="A1124" s="65">
        <v>6130</v>
      </c>
      <c r="B1124" s="52">
        <v>-0.28999999999999998</v>
      </c>
      <c r="C1124" s="184">
        <v>0</v>
      </c>
      <c r="D1124" s="181">
        <v>0</v>
      </c>
      <c r="E1124" s="26">
        <f>VLOOKUP(6130,季財報!$A:$H,8,0)</f>
        <v>0</v>
      </c>
      <c r="F1124" s="184">
        <v>-1.5491666666666673E-2</v>
      </c>
      <c r="G1124" s="54">
        <v>0</v>
      </c>
      <c r="H1124" s="54">
        <v>254079000</v>
      </c>
      <c r="I1124" s="66">
        <v>0</v>
      </c>
      <c r="J1124" s="186">
        <v>0</v>
      </c>
    </row>
    <row r="1125" spans="1:10">
      <c r="A1125" s="65">
        <v>6131</v>
      </c>
      <c r="B1125" s="52">
        <v>-0.27</v>
      </c>
      <c r="C1125" s="184">
        <v>0.98529411764705888</v>
      </c>
      <c r="D1125" s="181">
        <v>103703703.7037037</v>
      </c>
      <c r="E1125" s="26">
        <f>VLOOKUP(6131,季財報!$A:$H,8,0)</f>
        <v>0</v>
      </c>
      <c r="F1125" s="184">
        <v>0.11420833333333331</v>
      </c>
      <c r="G1125" s="54">
        <v>1022518518.5185184</v>
      </c>
      <c r="H1125" s="54">
        <v>260350000</v>
      </c>
      <c r="I1125" s="66">
        <v>3.927476545106658</v>
      </c>
      <c r="J1125" s="186">
        <v>0</v>
      </c>
    </row>
    <row r="1126" spans="1:10">
      <c r="A1126" s="65">
        <v>6133</v>
      </c>
      <c r="B1126" s="52">
        <v>0.31</v>
      </c>
      <c r="C1126" s="184">
        <v>0.22727272727272727</v>
      </c>
      <c r="D1126" s="181">
        <v>116129032.25806452</v>
      </c>
      <c r="E1126" s="26">
        <f>VLOOKUP(6133,季財報!$A:$H,8,0)</f>
        <v>0</v>
      </c>
      <c r="F1126" s="184">
        <v>2.6291666666666658E-2</v>
      </c>
      <c r="G1126" s="54">
        <v>1289032258.0645161</v>
      </c>
      <c r="H1126" s="54">
        <v>1229518000</v>
      </c>
      <c r="I1126" s="66">
        <v>1.0484045439469094</v>
      </c>
      <c r="J1126" s="186">
        <v>39.387096774193552</v>
      </c>
    </row>
    <row r="1127" spans="1:10">
      <c r="A1127" s="65">
        <v>6134</v>
      </c>
      <c r="B1127" s="52">
        <v>0.02</v>
      </c>
      <c r="C1127" s="184">
        <v>1</v>
      </c>
      <c r="D1127" s="181">
        <v>50000000</v>
      </c>
      <c r="E1127" s="26">
        <f>VLOOKUP(6134,季財報!$A:$H,8,0)</f>
        <v>0</v>
      </c>
      <c r="F1127" s="184">
        <v>-2.475000000000005E-3</v>
      </c>
      <c r="G1127" s="54">
        <v>337000000</v>
      </c>
      <c r="H1127" s="54">
        <v>1679954000</v>
      </c>
      <c r="I1127" s="66">
        <v>0.20060073073429391</v>
      </c>
      <c r="J1127" s="186">
        <v>50</v>
      </c>
    </row>
    <row r="1128" spans="1:10">
      <c r="A1128" s="65">
        <v>6136</v>
      </c>
      <c r="B1128" s="52">
        <v>1.1200000000000001</v>
      </c>
      <c r="C1128" s="184">
        <v>0</v>
      </c>
      <c r="D1128" s="181">
        <v>116071428.57142857</v>
      </c>
      <c r="E1128" s="26">
        <f>VLOOKUP(6136,季財報!$A:$H,8,0)</f>
        <v>0</v>
      </c>
      <c r="F1128" s="184">
        <v>2.4000000000000004E-2</v>
      </c>
      <c r="G1128" s="54">
        <v>2797321428.5714288</v>
      </c>
      <c r="H1128" s="54">
        <v>746464000</v>
      </c>
      <c r="I1128" s="66">
        <v>3.7474297870646525</v>
      </c>
      <c r="J1128" s="186">
        <v>0</v>
      </c>
    </row>
    <row r="1129" spans="1:10">
      <c r="A1129" s="65">
        <v>6138</v>
      </c>
      <c r="B1129" s="52">
        <v>0.38</v>
      </c>
      <c r="C1129" s="184">
        <v>0.47916666666666669</v>
      </c>
      <c r="D1129" s="181">
        <v>102631578.94736841</v>
      </c>
      <c r="E1129" s="26">
        <f>VLOOKUP(6138,季財報!$A:$H,8,0)</f>
        <v>0</v>
      </c>
      <c r="F1129" s="184">
        <v>1.6475000000000004E-2</v>
      </c>
      <c r="G1129" s="54">
        <v>2144999999.9999998</v>
      </c>
      <c r="H1129" s="54">
        <v>2943715000</v>
      </c>
      <c r="I1129" s="66">
        <v>0.72867108398741043</v>
      </c>
      <c r="J1129" s="186">
        <v>28.695652173913039</v>
      </c>
    </row>
    <row r="1130" spans="1:10">
      <c r="A1130" s="65">
        <v>6139</v>
      </c>
      <c r="B1130" s="52">
        <v>0.79</v>
      </c>
      <c r="C1130" s="184">
        <v>0.60893854748603349</v>
      </c>
      <c r="D1130" s="181">
        <v>187341772.15189871</v>
      </c>
      <c r="E1130" s="26">
        <f>VLOOKUP(6139,季財報!$A:$H,8,0)</f>
        <v>0</v>
      </c>
      <c r="F1130" s="184">
        <v>8.2999999999999931E-3</v>
      </c>
      <c r="G1130" s="54">
        <v>3344050632.9113922</v>
      </c>
      <c r="H1130" s="54">
        <v>16017819000</v>
      </c>
      <c r="I1130" s="66">
        <v>0.2087706592833514</v>
      </c>
      <c r="J1130" s="186">
        <v>9.2763616304726515</v>
      </c>
    </row>
    <row r="1131" spans="1:10">
      <c r="A1131" s="65">
        <v>6140</v>
      </c>
      <c r="B1131" s="52">
        <v>0.12</v>
      </c>
      <c r="C1131" s="184">
        <v>0</v>
      </c>
      <c r="D1131" s="181">
        <v>41666666.666666672</v>
      </c>
      <c r="E1131" s="26">
        <f>VLOOKUP(6140,季財報!$A:$H,8,0)</f>
        <v>0</v>
      </c>
      <c r="F1131" s="184">
        <v>8.3141666666666683E-2</v>
      </c>
      <c r="G1131" s="54">
        <v>0</v>
      </c>
      <c r="H1131" s="54">
        <v>1382127000</v>
      </c>
      <c r="I1131" s="66">
        <v>0</v>
      </c>
      <c r="J1131" s="186">
        <v>0</v>
      </c>
    </row>
    <row r="1132" spans="1:10">
      <c r="A1132" s="65">
        <v>6141</v>
      </c>
      <c r="B1132" s="52">
        <v>-0.84</v>
      </c>
      <c r="C1132" s="184">
        <v>0.93478260869565222</v>
      </c>
      <c r="D1132" s="181">
        <v>130952380.95238096</v>
      </c>
      <c r="E1132" s="26">
        <f>VLOOKUP(6141,季財報!$A:$H,8,0)</f>
        <v>0</v>
      </c>
      <c r="F1132" s="184">
        <v>-7.1666666666667144E-4</v>
      </c>
      <c r="G1132" s="54">
        <v>1113095238.0952382</v>
      </c>
      <c r="H1132" s="54">
        <v>2575615000</v>
      </c>
      <c r="I1132" s="66">
        <v>0.43216677884514504</v>
      </c>
      <c r="J1132" s="186">
        <v>0</v>
      </c>
    </row>
    <row r="1133" spans="1:10">
      <c r="A1133" s="65">
        <v>6142</v>
      </c>
      <c r="B1133" s="52">
        <v>0.03</v>
      </c>
      <c r="C1133" s="184">
        <v>1</v>
      </c>
      <c r="D1133" s="181">
        <v>266666666.66666669</v>
      </c>
      <c r="E1133" s="26">
        <f>VLOOKUP(6142,季財報!$A:$H,8,0)</f>
        <v>0</v>
      </c>
      <c r="F1133" s="184">
        <v>1.0974999999999997E-2</v>
      </c>
      <c r="G1133" s="54">
        <v>1301333333.3333335</v>
      </c>
      <c r="H1133" s="54">
        <v>4425333000</v>
      </c>
      <c r="I1133" s="66">
        <v>0.29406449940226725</v>
      </c>
      <c r="J1133" s="186">
        <v>40.666666666666664</v>
      </c>
    </row>
    <row r="1134" spans="1:10">
      <c r="A1134" s="65">
        <v>6143</v>
      </c>
      <c r="B1134" s="52">
        <v>4.09</v>
      </c>
      <c r="C1134" s="184">
        <v>0</v>
      </c>
      <c r="D1134" s="181">
        <v>83374083.129584357</v>
      </c>
      <c r="E1134" s="26">
        <f>VLOOKUP(6143,季財報!$A:$H,8,0)</f>
        <v>0</v>
      </c>
      <c r="F1134" s="184">
        <v>8.3100000000000007E-2</v>
      </c>
      <c r="G1134" s="54">
        <v>5319266503.6674814</v>
      </c>
      <c r="H1134" s="54">
        <v>5246940000</v>
      </c>
      <c r="I1134" s="66">
        <v>1.0137845112899102</v>
      </c>
      <c r="J1134" s="186">
        <v>0</v>
      </c>
    </row>
    <row r="1135" spans="1:10">
      <c r="A1135" s="65">
        <v>6144</v>
      </c>
      <c r="B1135" s="52">
        <v>-0.06</v>
      </c>
      <c r="C1135" s="184">
        <v>0.8571428571428571</v>
      </c>
      <c r="D1135" s="181">
        <v>66666666.666666672</v>
      </c>
      <c r="E1135" s="26">
        <f>VLOOKUP(6144,季財報!$A:$H,8,0)</f>
        <v>0</v>
      </c>
      <c r="F1135" s="184">
        <v>2.9541666666666678E-2</v>
      </c>
      <c r="G1135" s="54">
        <v>0</v>
      </c>
      <c r="H1135" s="54">
        <v>789336000</v>
      </c>
      <c r="I1135" s="66">
        <v>0</v>
      </c>
      <c r="J1135" s="186">
        <v>0</v>
      </c>
    </row>
    <row r="1136" spans="1:10">
      <c r="A1136" s="65">
        <v>6145</v>
      </c>
      <c r="B1136" s="52">
        <v>0.1</v>
      </c>
      <c r="C1136" s="184">
        <v>0</v>
      </c>
      <c r="D1136" s="181">
        <v>340000000</v>
      </c>
      <c r="E1136" s="26">
        <f>VLOOKUP(6145,季財報!$A:$H,8,0)</f>
        <v>0</v>
      </c>
      <c r="F1136" s="184">
        <v>7.1383333333333326E-2</v>
      </c>
      <c r="G1136" s="54">
        <v>4624000000</v>
      </c>
      <c r="H1136" s="54">
        <v>9500166000</v>
      </c>
      <c r="I1136" s="66">
        <v>0.48672833716800318</v>
      </c>
      <c r="J1136" s="186">
        <v>0</v>
      </c>
    </row>
    <row r="1137" spans="1:10">
      <c r="A1137" s="65">
        <v>6146</v>
      </c>
      <c r="B1137" s="52">
        <v>2.4</v>
      </c>
      <c r="C1137" s="184">
        <v>0.98076923076923073</v>
      </c>
      <c r="D1137" s="181">
        <v>86666666.666666672</v>
      </c>
      <c r="E1137" s="26">
        <f>VLOOKUP(6146,季財報!$A:$H,8,0)</f>
        <v>0</v>
      </c>
      <c r="F1137" s="184">
        <v>-2.6666666666666657E-3</v>
      </c>
      <c r="G1137" s="54">
        <v>16553333333.333334</v>
      </c>
      <c r="H1137" s="54">
        <v>3166921000</v>
      </c>
      <c r="I1137" s="66">
        <v>5.2269486145481157</v>
      </c>
      <c r="J1137" s="186">
        <v>20.285947712418302</v>
      </c>
    </row>
    <row r="1138" spans="1:10">
      <c r="A1138" s="65">
        <v>6147</v>
      </c>
      <c r="B1138" s="52">
        <v>1.07</v>
      </c>
      <c r="C1138" s="184">
        <v>0.84995507637017076</v>
      </c>
      <c r="D1138" s="181">
        <v>649532710.28037381</v>
      </c>
      <c r="E1138" s="26">
        <f>VLOOKUP(6147,季財報!$A:$H,8,0)</f>
        <v>0</v>
      </c>
      <c r="F1138" s="184">
        <v>-5.1166666666666669E-3</v>
      </c>
      <c r="G1138" s="54">
        <v>33385981308.411213</v>
      </c>
      <c r="H1138" s="54">
        <v>17294087000</v>
      </c>
      <c r="I1138" s="66">
        <v>1.9304853334212562</v>
      </c>
      <c r="J1138" s="186">
        <v>14.12938886803264</v>
      </c>
    </row>
    <row r="1139" spans="1:10">
      <c r="A1139" s="65">
        <v>6148</v>
      </c>
      <c r="B1139" s="52">
        <v>0.13</v>
      </c>
      <c r="C1139" s="184">
        <v>1</v>
      </c>
      <c r="D1139" s="181">
        <v>92307692.307692304</v>
      </c>
      <c r="E1139" s="26">
        <f>VLOOKUP(6148,季財報!$A:$H,8,0)</f>
        <v>0</v>
      </c>
      <c r="F1139" s="184">
        <v>5.5133333333333333E-2</v>
      </c>
      <c r="G1139" s="54">
        <v>717230769.23076916</v>
      </c>
      <c r="H1139" s="54">
        <v>5263953000</v>
      </c>
      <c r="I1139" s="66">
        <v>0.13625326237349938</v>
      </c>
      <c r="J1139" s="186">
        <v>14.942307692307692</v>
      </c>
    </row>
    <row r="1140" spans="1:10">
      <c r="A1140" s="65">
        <v>6150</v>
      </c>
      <c r="B1140" s="52">
        <v>-0.48</v>
      </c>
      <c r="C1140" s="184">
        <v>1</v>
      </c>
      <c r="D1140" s="181">
        <v>50000000</v>
      </c>
      <c r="E1140" s="26">
        <f>VLOOKUP(6150,季財報!$A:$H,8,0)</f>
        <v>0</v>
      </c>
      <c r="F1140" s="184">
        <v>3.9733333333333322E-2</v>
      </c>
      <c r="G1140" s="54">
        <v>356000000</v>
      </c>
      <c r="H1140" s="54">
        <v>2624866000</v>
      </c>
      <c r="I1140" s="66">
        <v>0.13562597100194829</v>
      </c>
      <c r="J1140" s="186">
        <v>0</v>
      </c>
    </row>
    <row r="1141" spans="1:10">
      <c r="A1141" s="65">
        <v>6151</v>
      </c>
      <c r="B1141" s="52">
        <v>0.64</v>
      </c>
      <c r="C1141" s="184">
        <v>1</v>
      </c>
      <c r="D1141" s="181">
        <v>54687500</v>
      </c>
      <c r="E1141" s="26">
        <f>VLOOKUP(6151,季財報!$A:$H,8,0)</f>
        <v>0</v>
      </c>
      <c r="F1141" s="184">
        <v>1.2891666666666668E-2</v>
      </c>
      <c r="G1141" s="54">
        <v>1205859375</v>
      </c>
      <c r="H1141" s="54">
        <v>1973099000</v>
      </c>
      <c r="I1141" s="66">
        <v>0.61114996003748423</v>
      </c>
      <c r="J1141" s="186">
        <v>8.61328125</v>
      </c>
    </row>
    <row r="1142" spans="1:10">
      <c r="A1142" s="65">
        <v>6152</v>
      </c>
      <c r="B1142" s="52">
        <v>-0.41</v>
      </c>
      <c r="C1142" s="184">
        <v>1</v>
      </c>
      <c r="D1142" s="181">
        <v>168292682.92682928</v>
      </c>
      <c r="E1142" s="26">
        <f>VLOOKUP(6152,季財報!$A:$H,8,0)</f>
        <v>0</v>
      </c>
      <c r="F1142" s="184">
        <v>1.9425000000000005E-2</v>
      </c>
      <c r="G1142" s="54">
        <v>1203292682.9268293</v>
      </c>
      <c r="H1142" s="54">
        <v>8067066000</v>
      </c>
      <c r="I1142" s="66">
        <v>0.1491611303200977</v>
      </c>
      <c r="J1142" s="186">
        <v>0</v>
      </c>
    </row>
    <row r="1143" spans="1:10">
      <c r="A1143" s="65">
        <v>6153</v>
      </c>
      <c r="B1143" s="52">
        <v>1.43</v>
      </c>
      <c r="C1143" s="184">
        <v>0.44634146341463415</v>
      </c>
      <c r="D1143" s="181">
        <v>323076923.07692307</v>
      </c>
      <c r="E1143" s="26">
        <f>VLOOKUP(6153,季財報!$A:$H,8,0)</f>
        <v>0</v>
      </c>
      <c r="F1143" s="184">
        <v>5.5999999999999947E-3</v>
      </c>
      <c r="G1143" s="54">
        <v>8173846153.8461542</v>
      </c>
      <c r="H1143" s="54">
        <v>16460184000</v>
      </c>
      <c r="I1143" s="66">
        <v>0.49658291510265951</v>
      </c>
      <c r="J1143" s="186">
        <v>9.9096258932324499</v>
      </c>
    </row>
    <row r="1144" spans="1:10">
      <c r="A1144" s="65">
        <v>6154</v>
      </c>
      <c r="B1144" s="52">
        <v>0.33</v>
      </c>
      <c r="C1144" s="184">
        <v>0.93333333333333335</v>
      </c>
      <c r="D1144" s="181">
        <v>78787878.787878782</v>
      </c>
      <c r="E1144" s="26">
        <f>VLOOKUP(6154,季財報!$A:$H,8,0)</f>
        <v>0</v>
      </c>
      <c r="F1144" s="184">
        <v>5.9166666666666623E-4</v>
      </c>
      <c r="G1144" s="54">
        <v>1319696969.6969695</v>
      </c>
      <c r="H1144" s="54">
        <v>5254343000</v>
      </c>
      <c r="I1144" s="66">
        <v>0.25116307970320351</v>
      </c>
      <c r="J1144" s="186">
        <v>13.595779220779221</v>
      </c>
    </row>
    <row r="1145" spans="1:10">
      <c r="A1145" s="65">
        <v>6155</v>
      </c>
      <c r="B1145" s="52">
        <v>0.76</v>
      </c>
      <c r="C1145" s="184">
        <v>0.23170731707317074</v>
      </c>
      <c r="D1145" s="181">
        <v>85526315.789473683</v>
      </c>
      <c r="E1145" s="26">
        <f>VLOOKUP(6155,季財報!$A:$H,8,0)</f>
        <v>0</v>
      </c>
      <c r="F1145" s="184">
        <v>-4.3749999999999943E-3</v>
      </c>
      <c r="G1145" s="54">
        <v>1543750000</v>
      </c>
      <c r="H1145" s="54">
        <v>647454000</v>
      </c>
      <c r="I1145" s="66">
        <v>2.384339273523679</v>
      </c>
      <c r="J1145" s="186">
        <v>25.625</v>
      </c>
    </row>
    <row r="1146" spans="1:10">
      <c r="A1146" s="65">
        <v>6156</v>
      </c>
      <c r="B1146" s="52">
        <v>0.51</v>
      </c>
      <c r="C1146" s="184">
        <v>0</v>
      </c>
      <c r="D1146" s="181">
        <v>78431372.549019605</v>
      </c>
      <c r="E1146" s="26">
        <f>VLOOKUP(6156,季財報!$A:$H,8,0)</f>
        <v>0</v>
      </c>
      <c r="F1146" s="184">
        <v>-9.9999999999999633E-4</v>
      </c>
      <c r="G1146" s="54">
        <v>1145098039.2156863</v>
      </c>
      <c r="H1146" s="54">
        <v>4163153000</v>
      </c>
      <c r="I1146" s="66">
        <v>0.27505547819541737</v>
      </c>
      <c r="J1146" s="186">
        <v>0</v>
      </c>
    </row>
    <row r="1147" spans="1:10">
      <c r="A1147" s="65">
        <v>6158</v>
      </c>
      <c r="B1147" s="52">
        <v>0.41</v>
      </c>
      <c r="C1147" s="184">
        <v>1</v>
      </c>
      <c r="D1147" s="181">
        <v>109756097.56097561</v>
      </c>
      <c r="E1147" s="26">
        <f>VLOOKUP(6158,季財報!$A:$H,8,0)</f>
        <v>0</v>
      </c>
      <c r="F1147" s="184">
        <v>-7.4166666666667031E-4</v>
      </c>
      <c r="G1147" s="54">
        <v>1163414634.1463413</v>
      </c>
      <c r="H1147" s="54">
        <v>2262759000</v>
      </c>
      <c r="I1147" s="66">
        <v>0.51415755462527879</v>
      </c>
      <c r="J1147" s="186">
        <v>6.4634146341463419</v>
      </c>
    </row>
    <row r="1148" spans="1:10">
      <c r="A1148" s="65">
        <v>6160</v>
      </c>
      <c r="B1148" s="52">
        <v>0.02</v>
      </c>
      <c r="C1148" s="184">
        <v>1</v>
      </c>
      <c r="D1148" s="181">
        <v>50000000</v>
      </c>
      <c r="E1148" s="26">
        <f>VLOOKUP(6160,季財報!$A:$H,8,0)</f>
        <v>0</v>
      </c>
      <c r="F1148" s="184">
        <v>7.8916666666666649E-3</v>
      </c>
      <c r="G1148" s="54">
        <v>680000000</v>
      </c>
      <c r="H1148" s="54">
        <v>1091857000</v>
      </c>
      <c r="I1148" s="66">
        <v>0.62279217882927895</v>
      </c>
      <c r="J1148" s="186">
        <v>50</v>
      </c>
    </row>
    <row r="1149" spans="1:10">
      <c r="A1149" s="65">
        <v>6161</v>
      </c>
      <c r="B1149" s="52">
        <v>0.35</v>
      </c>
      <c r="C1149" s="184">
        <v>0.4</v>
      </c>
      <c r="D1149" s="181">
        <v>120000000.00000001</v>
      </c>
      <c r="E1149" s="26">
        <f>VLOOKUP(6161,季財報!$A:$H,8,0)</f>
        <v>0</v>
      </c>
      <c r="F1149" s="184">
        <v>-1.491666666666662E-3</v>
      </c>
      <c r="G1149" s="54">
        <v>895200000.00000012</v>
      </c>
      <c r="H1149" s="54">
        <v>3132777000</v>
      </c>
      <c r="I1149" s="66">
        <v>0.28575286399255362</v>
      </c>
      <c r="J1149" s="186">
        <v>13.321428571428573</v>
      </c>
    </row>
    <row r="1150" spans="1:10">
      <c r="A1150" s="65">
        <v>6163</v>
      </c>
      <c r="B1150" s="52">
        <v>-0.7</v>
      </c>
      <c r="C1150" s="184">
        <v>1</v>
      </c>
      <c r="D1150" s="181">
        <v>102857142.85714287</v>
      </c>
      <c r="E1150" s="26">
        <f>VLOOKUP(6163,季財報!$A:$H,8,0)</f>
        <v>0</v>
      </c>
      <c r="F1150" s="184">
        <v>8.2208333333333355E-2</v>
      </c>
      <c r="G1150" s="54">
        <v>1152000000</v>
      </c>
      <c r="H1150" s="54">
        <v>3357835000</v>
      </c>
      <c r="I1150" s="66">
        <v>0.34307820366396802</v>
      </c>
      <c r="J1150" s="186">
        <v>0</v>
      </c>
    </row>
    <row r="1151" spans="1:10">
      <c r="A1151" s="65">
        <v>6164</v>
      </c>
      <c r="B1151" s="52">
        <v>7.0000000000000007E-2</v>
      </c>
      <c r="C1151" s="184">
        <v>1</v>
      </c>
      <c r="D1151" s="181">
        <v>128571428.57142855</v>
      </c>
      <c r="E1151" s="26">
        <f>VLOOKUP(6164,季財報!$A:$H,8,0)</f>
        <v>0</v>
      </c>
      <c r="F1151" s="184">
        <v>2.2500000000000024E-3</v>
      </c>
      <c r="G1151" s="54">
        <v>1317857142.8571427</v>
      </c>
      <c r="H1151" s="54">
        <v>1724192000</v>
      </c>
      <c r="I1151" s="66">
        <v>0.76433317336882589</v>
      </c>
      <c r="J1151" s="186">
        <v>36.607142857142854</v>
      </c>
    </row>
    <row r="1152" spans="1:10">
      <c r="A1152" s="65">
        <v>6165</v>
      </c>
      <c r="B1152" s="52">
        <v>0.44</v>
      </c>
      <c r="C1152" s="184">
        <v>0.5714285714285714</v>
      </c>
      <c r="D1152" s="181">
        <v>50000000</v>
      </c>
      <c r="E1152" s="26">
        <f>VLOOKUP(6165,季財報!$A:$H,8,0)</f>
        <v>0</v>
      </c>
      <c r="F1152" s="184">
        <v>-7.3525000000000007E-2</v>
      </c>
      <c r="G1152" s="54">
        <v>595000000</v>
      </c>
      <c r="H1152" s="54">
        <v>249089000</v>
      </c>
      <c r="I1152" s="66">
        <v>2.3887044389756271</v>
      </c>
      <c r="J1152" s="186">
        <v>11.832386363636365</v>
      </c>
    </row>
    <row r="1153" spans="1:10">
      <c r="A1153" s="65">
        <v>6166</v>
      </c>
      <c r="B1153" s="52">
        <v>0.78</v>
      </c>
      <c r="C1153" s="184">
        <v>0.90342679127725856</v>
      </c>
      <c r="D1153" s="181">
        <v>201282051.28205127</v>
      </c>
      <c r="E1153" s="26">
        <f>VLOOKUP(6166,季財報!$A:$H,8,0)</f>
        <v>0</v>
      </c>
      <c r="F1153" s="184">
        <v>1.1191666666666664E-2</v>
      </c>
      <c r="G1153" s="54">
        <v>16364230769.230768</v>
      </c>
      <c r="H1153" s="54">
        <v>9010111000</v>
      </c>
      <c r="I1153" s="66">
        <v>1.8162074550725034</v>
      </c>
      <c r="J1153" s="186">
        <v>28.843169761273209</v>
      </c>
    </row>
    <row r="1154" spans="1:10">
      <c r="A1154" s="65">
        <v>6167</v>
      </c>
      <c r="B1154" s="52">
        <v>0.12</v>
      </c>
      <c r="C1154" s="184">
        <v>1</v>
      </c>
      <c r="D1154" s="181">
        <v>175000000</v>
      </c>
      <c r="E1154" s="26">
        <f>VLOOKUP(6167,季財報!$A:$H,8,0)</f>
        <v>0</v>
      </c>
      <c r="F1154" s="184">
        <v>-3.5916666666666736E-3</v>
      </c>
      <c r="G1154" s="54">
        <v>728000000</v>
      </c>
      <c r="H1154" s="54">
        <v>1899607000</v>
      </c>
      <c r="I1154" s="66">
        <v>0.3832371643187249</v>
      </c>
      <c r="J1154" s="186">
        <v>8.6666666666666679</v>
      </c>
    </row>
    <row r="1155" spans="1:10">
      <c r="A1155" s="65">
        <v>6168</v>
      </c>
      <c r="B1155" s="52">
        <v>0.88</v>
      </c>
      <c r="C1155" s="184">
        <v>0.75806451612903225</v>
      </c>
      <c r="D1155" s="181">
        <v>203409090.90909091</v>
      </c>
      <c r="E1155" s="26">
        <f>VLOOKUP(6168,季財報!$A:$H,8,0)</f>
        <v>0</v>
      </c>
      <c r="F1155" s="184">
        <v>2.390833333333334E-2</v>
      </c>
      <c r="G1155" s="54">
        <v>2532443181.8181815</v>
      </c>
      <c r="H1155" s="54">
        <v>4349303000</v>
      </c>
      <c r="I1155" s="66">
        <v>0.58226414251161196</v>
      </c>
      <c r="J1155" s="186">
        <v>4.6657398452611218</v>
      </c>
    </row>
    <row r="1156" spans="1:10">
      <c r="A1156" s="65">
        <v>6169</v>
      </c>
      <c r="B1156" s="52">
        <v>-1.08</v>
      </c>
      <c r="C1156" s="184">
        <v>0.95833333333333337</v>
      </c>
      <c r="D1156" s="181">
        <v>27777777.777777776</v>
      </c>
      <c r="E1156" s="26">
        <f>VLOOKUP(6169,季財報!$A:$H,8,0)</f>
        <v>0</v>
      </c>
      <c r="F1156" s="184">
        <v>5.8016666666666682E-2</v>
      </c>
      <c r="G1156" s="54">
        <v>784722222.22222221</v>
      </c>
      <c r="H1156" s="54">
        <v>181034000</v>
      </c>
      <c r="I1156" s="66">
        <v>4.3346676437698015</v>
      </c>
      <c r="J1156" s="186">
        <v>0</v>
      </c>
    </row>
    <row r="1157" spans="1:10">
      <c r="A1157" s="65">
        <v>6170</v>
      </c>
      <c r="B1157" s="52">
        <v>0.1</v>
      </c>
      <c r="C1157" s="184">
        <v>0.30769230769230771</v>
      </c>
      <c r="D1157" s="181">
        <v>100000000</v>
      </c>
      <c r="E1157" s="26">
        <f>VLOOKUP(6170,季財報!$A:$H,8,0)</f>
        <v>0</v>
      </c>
      <c r="F1157" s="184">
        <v>-7.3166666666666658E-3</v>
      </c>
      <c r="G1157" s="54">
        <v>1005000000.0000001</v>
      </c>
      <c r="H1157" s="54">
        <v>3630070000</v>
      </c>
      <c r="I1157" s="66">
        <v>0.27685416534667379</v>
      </c>
      <c r="J1157" s="186">
        <v>50</v>
      </c>
    </row>
    <row r="1158" spans="1:10">
      <c r="A1158" s="65">
        <v>6171</v>
      </c>
      <c r="B1158" s="52">
        <v>-7.0000000000000007E-2</v>
      </c>
      <c r="C1158" s="184">
        <v>1</v>
      </c>
      <c r="D1158" s="181">
        <v>85714285.714285702</v>
      </c>
      <c r="E1158" s="26">
        <f>VLOOKUP(6171,季財報!$A:$H,8,0)</f>
        <v>0</v>
      </c>
      <c r="F1158" s="184">
        <v>476.767875</v>
      </c>
      <c r="G1158" s="54">
        <v>1097142857.1428571</v>
      </c>
      <c r="H1158" s="54">
        <v>80279000</v>
      </c>
      <c r="I1158" s="66">
        <v>10</v>
      </c>
      <c r="J1158" s="186">
        <v>0</v>
      </c>
    </row>
    <row r="1159" spans="1:10">
      <c r="A1159" s="65">
        <v>6172</v>
      </c>
      <c r="B1159" s="52">
        <v>0.12</v>
      </c>
      <c r="C1159" s="184">
        <v>0</v>
      </c>
      <c r="D1159" s="181">
        <v>50000000</v>
      </c>
      <c r="E1159" s="26">
        <f>VLOOKUP(6172,季財報!$A:$H,8,0)</f>
        <v>0</v>
      </c>
      <c r="F1159" s="184">
        <v>-3.3450000000000008E-2</v>
      </c>
      <c r="G1159" s="54">
        <v>260000000</v>
      </c>
      <c r="H1159" s="54">
        <v>286946000</v>
      </c>
      <c r="I1159" s="66">
        <v>0.90609382950102113</v>
      </c>
      <c r="J1159" s="186">
        <v>0</v>
      </c>
    </row>
    <row r="1160" spans="1:10">
      <c r="A1160" s="65">
        <v>6173</v>
      </c>
      <c r="B1160" s="52">
        <v>0.26</v>
      </c>
      <c r="C1160" s="184">
        <v>0.61538461538461542</v>
      </c>
      <c r="D1160" s="181">
        <v>184615384.61538461</v>
      </c>
      <c r="E1160" s="26">
        <f>VLOOKUP(6173,季財報!$A:$H,8,0)</f>
        <v>0</v>
      </c>
      <c r="F1160" s="184">
        <v>-8.6666666666666836E-4</v>
      </c>
      <c r="G1160" s="54">
        <v>1792615384.6153848</v>
      </c>
      <c r="H1160" s="54">
        <v>2410050000</v>
      </c>
      <c r="I1160" s="66">
        <v>0.7438083793346133</v>
      </c>
      <c r="J1160" s="186">
        <v>15.171875000000002</v>
      </c>
    </row>
    <row r="1161" spans="1:10">
      <c r="A1161" s="65">
        <v>6174</v>
      </c>
      <c r="B1161" s="52">
        <v>0.32</v>
      </c>
      <c r="C1161" s="184">
        <v>0.87878787878787878</v>
      </c>
      <c r="D1161" s="181">
        <v>50000000</v>
      </c>
      <c r="E1161" s="26">
        <f>VLOOKUP(6174,季財報!$A:$H,8,0)</f>
        <v>0</v>
      </c>
      <c r="F1161" s="184">
        <v>1.3591666666666663E-2</v>
      </c>
      <c r="G1161" s="54">
        <v>710000000</v>
      </c>
      <c r="H1161" s="54">
        <v>541196000</v>
      </c>
      <c r="I1161" s="66">
        <v>1.31190917892963</v>
      </c>
      <c r="J1161" s="186">
        <v>12.623922413793103</v>
      </c>
    </row>
    <row r="1162" spans="1:10">
      <c r="A1162" s="65">
        <v>6175</v>
      </c>
      <c r="B1162" s="52">
        <v>0.26</v>
      </c>
      <c r="C1162" s="184">
        <v>1</v>
      </c>
      <c r="D1162" s="181">
        <v>134615384.61538461</v>
      </c>
      <c r="E1162" s="26">
        <f>VLOOKUP(6175,季財報!$A:$H,8,0)</f>
        <v>0</v>
      </c>
      <c r="F1162" s="184">
        <v>-1.2833333333333353E-3</v>
      </c>
      <c r="G1162" s="54">
        <v>1696153846.153846</v>
      </c>
      <c r="H1162" s="54">
        <v>1934797000</v>
      </c>
      <c r="I1162" s="66">
        <v>0.87665726489851181</v>
      </c>
      <c r="J1162" s="186">
        <v>12.115384615384615</v>
      </c>
    </row>
    <row r="1163" spans="1:10">
      <c r="A1163" s="65">
        <v>6176</v>
      </c>
      <c r="B1163" s="52">
        <v>2.78</v>
      </c>
      <c r="C1163" s="184">
        <v>0.82658517952635602</v>
      </c>
      <c r="D1163" s="181">
        <v>465467625.89928061</v>
      </c>
      <c r="E1163" s="26">
        <f>VLOOKUP(6176,季財報!$A:$H,8,0)</f>
        <v>0</v>
      </c>
      <c r="F1163" s="184">
        <v>4.0366666666666669E-2</v>
      </c>
      <c r="G1163" s="54">
        <v>42543741007.194252</v>
      </c>
      <c r="H1163" s="54">
        <v>50621498000</v>
      </c>
      <c r="I1163" s="66">
        <v>0.84042832962379443</v>
      </c>
      <c r="J1163" s="186">
        <v>9.9438323647920868</v>
      </c>
    </row>
    <row r="1164" spans="1:10">
      <c r="A1164" s="65">
        <v>6177</v>
      </c>
      <c r="B1164" s="52">
        <v>-0.04</v>
      </c>
      <c r="C1164" s="184">
        <v>1</v>
      </c>
      <c r="D1164" s="181">
        <v>175000000</v>
      </c>
      <c r="E1164" s="26">
        <f>VLOOKUP(6177,季財報!$A:$H,8,0)</f>
        <v>0</v>
      </c>
      <c r="F1164" s="184">
        <v>1.50915</v>
      </c>
      <c r="G1164" s="54">
        <v>3482499999.9999995</v>
      </c>
      <c r="H1164" s="54">
        <v>3400722000</v>
      </c>
      <c r="I1164" s="66">
        <v>1.0240472464376682</v>
      </c>
      <c r="J1164" s="186">
        <v>0</v>
      </c>
    </row>
    <row r="1165" spans="1:10">
      <c r="A1165" s="65">
        <v>6179</v>
      </c>
      <c r="B1165" s="52">
        <v>0.72</v>
      </c>
      <c r="C1165" s="184">
        <v>0.98780487804878048</v>
      </c>
      <c r="D1165" s="181">
        <v>50000000</v>
      </c>
      <c r="E1165" s="26">
        <f>VLOOKUP(6179,季財報!$A:$H,8,0)</f>
        <v>0</v>
      </c>
      <c r="F1165" s="184">
        <v>6.3466666666666685E-2</v>
      </c>
      <c r="G1165" s="54">
        <v>1900000000</v>
      </c>
      <c r="H1165" s="54">
        <v>1402615000</v>
      </c>
      <c r="I1165" s="66">
        <v>1.3546126342581535</v>
      </c>
      <c r="J1165" s="186">
        <v>13.357338820301784</v>
      </c>
    </row>
    <row r="1166" spans="1:10">
      <c r="A1166" s="65">
        <v>6180</v>
      </c>
      <c r="B1166" s="52">
        <v>0.17</v>
      </c>
      <c r="C1166" s="184">
        <v>0.36065573770491804</v>
      </c>
      <c r="D1166" s="181">
        <v>152941176.47058824</v>
      </c>
      <c r="E1166" s="26">
        <f>VLOOKUP(6180,季財報!$A:$H,8,0)</f>
        <v>0</v>
      </c>
      <c r="F1166" s="184">
        <v>3.8575000000000005E-2</v>
      </c>
      <c r="G1166" s="54">
        <v>7096470588.2352943</v>
      </c>
      <c r="H1166" s="54">
        <v>9636114000</v>
      </c>
      <c r="I1166" s="66">
        <v>0.73644527121983971</v>
      </c>
      <c r="J1166" s="186">
        <v>50</v>
      </c>
    </row>
    <row r="1167" spans="1:10">
      <c r="A1167" s="65">
        <v>6182</v>
      </c>
      <c r="B1167" s="52">
        <v>0.05</v>
      </c>
      <c r="C1167" s="184">
        <v>1</v>
      </c>
      <c r="D1167" s="181">
        <v>400000000</v>
      </c>
      <c r="E1167" s="26">
        <f>VLOOKUP(6182,季財報!$A:$H,8,0)</f>
        <v>0</v>
      </c>
      <c r="F1167" s="184">
        <v>-6.1583333333333308E-3</v>
      </c>
      <c r="G1167" s="54">
        <v>4300000000</v>
      </c>
      <c r="H1167" s="54">
        <v>5187400000</v>
      </c>
      <c r="I1167" s="66">
        <v>0.82893164205575043</v>
      </c>
      <c r="J1167" s="186">
        <v>50</v>
      </c>
    </row>
    <row r="1168" spans="1:10">
      <c r="A1168" s="65">
        <v>6183</v>
      </c>
      <c r="B1168" s="52">
        <v>0.41</v>
      </c>
      <c r="C1168" s="184">
        <v>0.93846153846153846</v>
      </c>
      <c r="D1168" s="181">
        <v>151219512.19512197</v>
      </c>
      <c r="E1168" s="26">
        <f>VLOOKUP(6183,季財報!$A:$H,8,0)</f>
        <v>0</v>
      </c>
      <c r="F1168" s="184">
        <v>7.1349999999999983E-2</v>
      </c>
      <c r="G1168" s="54">
        <v>3939268292.6829276</v>
      </c>
      <c r="H1168" s="54">
        <v>1345779000</v>
      </c>
      <c r="I1168" s="66">
        <v>2.9271286687360463</v>
      </c>
      <c r="J1168" s="186">
        <v>16.925729708116755</v>
      </c>
    </row>
    <row r="1169" spans="1:11">
      <c r="A1169" s="65">
        <v>6184</v>
      </c>
      <c r="B1169" s="52">
        <v>0.47</v>
      </c>
      <c r="C1169" s="184">
        <v>0.7072072072072072</v>
      </c>
      <c r="D1169" s="181">
        <v>131914893.61702128</v>
      </c>
      <c r="E1169" s="26">
        <f>VLOOKUP(6184,季財報!$A:$H,8,0)</f>
        <v>0</v>
      </c>
      <c r="F1169" s="184">
        <v>7.6108333333333347E-2</v>
      </c>
      <c r="G1169" s="54">
        <v>6833191489.361702</v>
      </c>
      <c r="H1169" s="54">
        <v>1592200000</v>
      </c>
      <c r="I1169" s="66">
        <v>4.2916665553081907</v>
      </c>
      <c r="J1169" s="186">
        <v>38.960563762027377</v>
      </c>
    </row>
    <row r="1170" spans="1:11">
      <c r="A1170" s="65">
        <v>6185</v>
      </c>
      <c r="B1170" s="52">
        <v>0.76</v>
      </c>
      <c r="C1170" s="184">
        <v>0.73648648648648651</v>
      </c>
      <c r="D1170" s="181">
        <v>114473684.21052632</v>
      </c>
      <c r="E1170" s="26">
        <f>VLOOKUP(6185,季財報!$A:$H,8,0)</f>
        <v>0</v>
      </c>
      <c r="F1170" s="184">
        <v>8.3916666666666636E-3</v>
      </c>
      <c r="G1170" s="54">
        <v>2781710526.3157897</v>
      </c>
      <c r="H1170" s="54">
        <v>1476679000</v>
      </c>
      <c r="I1170" s="66">
        <v>1.8837611466783164</v>
      </c>
      <c r="J1170" s="186">
        <v>10.853452438435538</v>
      </c>
    </row>
    <row r="1171" spans="1:11">
      <c r="A1171" s="65">
        <v>6187</v>
      </c>
      <c r="B1171" s="52">
        <v>0.74</v>
      </c>
      <c r="C1171" s="184">
        <v>0.84269662921348309</v>
      </c>
      <c r="D1171" s="181">
        <v>85135135.135135129</v>
      </c>
      <c r="E1171" s="26">
        <f>VLOOKUP(6187,季財報!$A:$H,8,0)</f>
        <v>0</v>
      </c>
      <c r="F1171" s="184">
        <v>-1.9766666666666665E-2</v>
      </c>
      <c r="G1171" s="54">
        <v>3469256756.7567563</v>
      </c>
      <c r="H1171" s="54">
        <v>1578070000</v>
      </c>
      <c r="I1171" s="66">
        <v>2.1984175332886098</v>
      </c>
      <c r="J1171" s="186">
        <v>16.336711711711711</v>
      </c>
    </row>
    <row r="1172" spans="1:11">
      <c r="A1172" s="65">
        <v>6188</v>
      </c>
      <c r="B1172" s="52">
        <v>0.34</v>
      </c>
      <c r="C1172" s="184">
        <v>0.14354066985645933</v>
      </c>
      <c r="D1172" s="181">
        <v>279411764.70588231</v>
      </c>
      <c r="E1172" s="26">
        <f>VLOOKUP(6188,季財報!$A:$H,8,0)</f>
        <v>0</v>
      </c>
      <c r="F1172" s="184">
        <v>-2.5174999999999999E-2</v>
      </c>
      <c r="G1172" s="54">
        <v>5434558823.5294104</v>
      </c>
      <c r="H1172" s="54">
        <v>11294614000</v>
      </c>
      <c r="I1172" s="66">
        <v>0.48116374968895886</v>
      </c>
      <c r="J1172" s="186">
        <v>50</v>
      </c>
    </row>
    <row r="1173" spans="1:11">
      <c r="A1173" s="65">
        <v>6189</v>
      </c>
      <c r="B1173" s="52">
        <v>1.17</v>
      </c>
      <c r="C1173" s="184">
        <v>0.86644951140065152</v>
      </c>
      <c r="D1173" s="181">
        <v>178632478.63247865</v>
      </c>
      <c r="E1173" s="26">
        <f>VLOOKUP(6189,季財報!$A:$H,8,0)</f>
        <v>0</v>
      </c>
      <c r="F1173" s="184">
        <v>-4.4166666666666633E-4</v>
      </c>
      <c r="G1173" s="54">
        <v>5421495726.4957275</v>
      </c>
      <c r="H1173" s="54">
        <v>18024984000</v>
      </c>
      <c r="I1173" s="66">
        <v>0.30077672892778867</v>
      </c>
      <c r="J1173" s="186">
        <v>7.4846169911959386</v>
      </c>
    </row>
    <row r="1174" spans="1:11">
      <c r="A1174" s="65">
        <v>6190</v>
      </c>
      <c r="B1174" s="52">
        <v>0.09</v>
      </c>
      <c r="C1174" s="184">
        <v>1</v>
      </c>
      <c r="D1174" s="181">
        <v>111111111.11111112</v>
      </c>
      <c r="E1174" s="26">
        <f>VLOOKUP(6190,季財報!$A:$H,8,0)</f>
        <v>0</v>
      </c>
      <c r="F1174" s="184">
        <v>-1.3416666666666648E-3</v>
      </c>
      <c r="G1174" s="54">
        <v>652222222.22222233</v>
      </c>
      <c r="H1174" s="54">
        <v>4036326000</v>
      </c>
      <c r="I1174" s="66">
        <v>0.16158809328637536</v>
      </c>
      <c r="J1174" s="186">
        <v>16.305555555555557</v>
      </c>
    </row>
    <row r="1175" spans="1:11">
      <c r="A1175" s="65">
        <v>6191</v>
      </c>
      <c r="B1175" s="52">
        <v>0.04</v>
      </c>
      <c r="C1175" s="184">
        <v>0</v>
      </c>
      <c r="D1175" s="181">
        <v>600000000</v>
      </c>
      <c r="E1175" s="26">
        <f>VLOOKUP(6191,季財報!$A:$H,8,0)</f>
        <v>0</v>
      </c>
      <c r="F1175" s="184">
        <v>-5.0416666666666674E-3</v>
      </c>
      <c r="G1175" s="54">
        <v>4038000000.0000005</v>
      </c>
      <c r="H1175" s="54">
        <v>23799884000</v>
      </c>
      <c r="I1175" s="66">
        <v>0.16966469248337515</v>
      </c>
      <c r="J1175" s="186">
        <v>0</v>
      </c>
    </row>
    <row r="1176" spans="1:11">
      <c r="A1176" s="65">
        <v>6192</v>
      </c>
      <c r="B1176" s="52">
        <v>1.1599999999999999</v>
      </c>
      <c r="C1176" s="184">
        <v>0.96470588235294119</v>
      </c>
      <c r="D1176" s="181">
        <v>118965517.24137932</v>
      </c>
      <c r="E1176" s="26">
        <f>VLOOKUP(6192,季財報!$A:$H,8,0)</f>
        <v>0</v>
      </c>
      <c r="F1176" s="184">
        <v>8.7416666666666667E-3</v>
      </c>
      <c r="G1176" s="54">
        <v>5359396551.7241383</v>
      </c>
      <c r="H1176" s="54">
        <v>5291125000</v>
      </c>
      <c r="I1176" s="66">
        <v>1.012903031344778</v>
      </c>
      <c r="J1176" s="186">
        <v>10.064260933557613</v>
      </c>
    </row>
    <row r="1177" spans="1:11">
      <c r="A1177" s="65">
        <v>6194</v>
      </c>
      <c r="B1177" s="52">
        <v>-0.2</v>
      </c>
      <c r="C1177" s="184">
        <v>1</v>
      </c>
      <c r="D1177" s="181">
        <v>90000000</v>
      </c>
      <c r="E1177" s="26">
        <f>VLOOKUP(6194,季財報!$A:$H,8,0)</f>
        <v>0</v>
      </c>
      <c r="F1177" s="184">
        <v>8.1183333333333316E-2</v>
      </c>
      <c r="G1177" s="54">
        <v>1804500000</v>
      </c>
      <c r="H1177" s="54">
        <v>266280000</v>
      </c>
      <c r="I1177" s="66">
        <v>6.7767012167643079</v>
      </c>
      <c r="J1177" s="186">
        <v>0</v>
      </c>
    </row>
    <row r="1178" spans="1:11">
      <c r="A1178" s="65">
        <v>6195</v>
      </c>
      <c r="B1178" s="52">
        <v>0.78</v>
      </c>
      <c r="C1178" s="184">
        <v>0.98750000000000004</v>
      </c>
      <c r="D1178" s="181">
        <v>42307692.307692304</v>
      </c>
      <c r="E1178" s="26">
        <f>VLOOKUP(6195,季財報!$A:$H,8,0)</f>
        <v>0</v>
      </c>
      <c r="F1178" s="184">
        <v>1.4058333333333331E-2</v>
      </c>
      <c r="G1178" s="54">
        <v>2094230769.2307692</v>
      </c>
      <c r="H1178" s="54">
        <v>1610226000</v>
      </c>
      <c r="I1178" s="66">
        <v>1.3005818867853141</v>
      </c>
      <c r="J1178" s="186">
        <v>16.066212268743911</v>
      </c>
    </row>
    <row r="1179" spans="1:11">
      <c r="A1179" s="65">
        <v>6196</v>
      </c>
      <c r="B1179" s="52">
        <v>1.19</v>
      </c>
      <c r="C1179" s="184">
        <v>0.71014492753623193</v>
      </c>
      <c r="D1179" s="181">
        <v>165546218.48739496</v>
      </c>
      <c r="E1179" s="26">
        <f>VLOOKUP(6196,季財報!$A:$H,8,0)</f>
        <v>0</v>
      </c>
      <c r="F1179" s="184">
        <v>4.2100000000000005E-2</v>
      </c>
      <c r="G1179" s="54">
        <v>3766176470.5882354</v>
      </c>
      <c r="H1179" s="54">
        <v>18036038000</v>
      </c>
      <c r="I1179" s="66">
        <v>0.20881395739952618</v>
      </c>
      <c r="J1179" s="186">
        <v>6.7301920768307326</v>
      </c>
    </row>
    <row r="1180" spans="1:11">
      <c r="A1180" s="65">
        <v>6197</v>
      </c>
      <c r="B1180" s="52">
        <v>0.79</v>
      </c>
      <c r="C1180" s="184">
        <v>0.2857142857142857</v>
      </c>
      <c r="D1180" s="181">
        <v>170886075.94936708</v>
      </c>
      <c r="E1180" s="26">
        <f>VLOOKUP(6197,季財報!$A:$H,8,0)</f>
        <v>0</v>
      </c>
      <c r="F1180" s="184">
        <v>1.0616666666666668E-2</v>
      </c>
      <c r="G1180" s="54">
        <v>5365822784.8101263</v>
      </c>
      <c r="H1180" s="54">
        <v>5325030000</v>
      </c>
      <c r="I1180" s="66">
        <v>1.0076605737075897</v>
      </c>
      <c r="J1180" s="186">
        <v>34.778481012658226</v>
      </c>
      <c r="K1180" s="32"/>
    </row>
    <row r="1181" spans="1:11">
      <c r="A1181" s="65">
        <v>6198</v>
      </c>
      <c r="B1181" s="52">
        <v>-0.23</v>
      </c>
      <c r="C1181" s="184">
        <v>1</v>
      </c>
      <c r="D1181" s="181">
        <v>21739130.434782609</v>
      </c>
      <c r="E1181" s="26">
        <f>VLOOKUP(6198,季財報!$A:$H,8,0)</f>
        <v>0</v>
      </c>
      <c r="F1181" s="184">
        <v>-1.8191666666666662E-2</v>
      </c>
      <c r="G1181" s="54">
        <v>345652173.9130435</v>
      </c>
      <c r="H1181" s="54">
        <v>76684000</v>
      </c>
      <c r="I1181" s="66">
        <v>4.5074875321193923</v>
      </c>
      <c r="J1181" s="186">
        <v>0</v>
      </c>
    </row>
    <row r="1182" spans="1:11">
      <c r="A1182" s="65">
        <v>6199</v>
      </c>
      <c r="B1182" s="52">
        <v>-0.05</v>
      </c>
      <c r="C1182" s="184">
        <v>0</v>
      </c>
      <c r="D1182" s="181">
        <v>60000000</v>
      </c>
      <c r="E1182" s="26">
        <f>VLOOKUP(6199,季財報!$A:$H,8,0)</f>
        <v>0</v>
      </c>
      <c r="F1182" s="184">
        <v>-3.1249999999999997E-2</v>
      </c>
      <c r="G1182" s="54">
        <v>0</v>
      </c>
      <c r="H1182" s="54">
        <v>77762000</v>
      </c>
      <c r="I1182" s="66">
        <v>0</v>
      </c>
      <c r="J1182" s="186">
        <v>0</v>
      </c>
    </row>
    <row r="1183" spans="1:11">
      <c r="A1183" s="65">
        <v>6201</v>
      </c>
      <c r="B1183" s="52">
        <v>0.89</v>
      </c>
      <c r="C1183" s="184">
        <v>0.55813953488372092</v>
      </c>
      <c r="D1183" s="181">
        <v>88764044.943820223</v>
      </c>
      <c r="E1183" s="26">
        <f>VLOOKUP(6201,季財報!$A:$H,8,0)</f>
        <v>0</v>
      </c>
      <c r="F1183" s="184">
        <v>-9.708333333333331E-3</v>
      </c>
      <c r="G1183" s="54">
        <v>2245730337.0786519</v>
      </c>
      <c r="H1183" s="54">
        <v>3236077000</v>
      </c>
      <c r="I1183" s="66">
        <v>0.69396690408746509</v>
      </c>
      <c r="J1183" s="186">
        <v>12.732911985018728</v>
      </c>
    </row>
    <row r="1184" spans="1:11">
      <c r="A1184" s="65">
        <v>6202</v>
      </c>
      <c r="B1184" s="52">
        <v>0.97</v>
      </c>
      <c r="C1184" s="184">
        <v>0.82045454545454544</v>
      </c>
      <c r="D1184" s="181">
        <v>226804123.71134022</v>
      </c>
      <c r="E1184" s="26">
        <f>VLOOKUP(6202,季財報!$A:$H,8,0)</f>
        <v>0</v>
      </c>
      <c r="F1184" s="184">
        <v>2.5874999999999995E-2</v>
      </c>
      <c r="G1184" s="54">
        <v>11328865979.381445</v>
      </c>
      <c r="H1184" s="54">
        <v>3953785000</v>
      </c>
      <c r="I1184" s="66">
        <v>2.8653217055002851</v>
      </c>
      <c r="J1184" s="186">
        <v>15.690950109946598</v>
      </c>
    </row>
    <row r="1185" spans="1:10">
      <c r="A1185" s="65">
        <v>6203</v>
      </c>
      <c r="B1185" s="52">
        <v>1.18</v>
      </c>
      <c r="C1185" s="184">
        <v>0.4247787610619469</v>
      </c>
      <c r="D1185" s="181">
        <v>80508474.576271191</v>
      </c>
      <c r="E1185" s="26">
        <f>VLOOKUP(6203,季財報!$A:$H,8,0)</f>
        <v>0</v>
      </c>
      <c r="F1185" s="184">
        <v>-4.5916666666666701E-3</v>
      </c>
      <c r="G1185" s="54">
        <v>2487711864.4067798</v>
      </c>
      <c r="H1185" s="54">
        <v>1723942000</v>
      </c>
      <c r="I1185" s="66">
        <v>1.4430368680656191</v>
      </c>
      <c r="J1185" s="186">
        <v>15.411811440677967</v>
      </c>
    </row>
    <row r="1186" spans="1:10">
      <c r="A1186" s="65">
        <v>6204</v>
      </c>
      <c r="B1186" s="52">
        <v>0.5</v>
      </c>
      <c r="C1186" s="184">
        <v>0.41176470588235292</v>
      </c>
      <c r="D1186" s="181">
        <v>36000000</v>
      </c>
      <c r="E1186" s="26">
        <f>VLOOKUP(6204,季財報!$A:$H,8,0)</f>
        <v>0</v>
      </c>
      <c r="F1186" s="184">
        <v>3.241666666666667E-2</v>
      </c>
      <c r="G1186" s="54">
        <v>790200000</v>
      </c>
      <c r="H1186" s="54">
        <v>607035000</v>
      </c>
      <c r="I1186" s="66">
        <v>1.3017371321258246</v>
      </c>
      <c r="J1186" s="186">
        <v>26.653571428571428</v>
      </c>
    </row>
    <row r="1187" spans="1:10">
      <c r="A1187" s="65">
        <v>6205</v>
      </c>
      <c r="B1187" s="52">
        <v>1.26</v>
      </c>
      <c r="C1187" s="184">
        <v>0.30714285714285716</v>
      </c>
      <c r="D1187" s="181">
        <v>71428571.428571433</v>
      </c>
      <c r="E1187" s="26">
        <f>VLOOKUP(6205,季財報!$A:$H,8,0)</f>
        <v>0</v>
      </c>
      <c r="F1187" s="184">
        <v>-1.3074999999999996E-2</v>
      </c>
      <c r="G1187" s="54">
        <v>2121428571.4285715</v>
      </c>
      <c r="H1187" s="54">
        <v>2260424000</v>
      </c>
      <c r="I1187" s="66">
        <v>0.93850913431664651</v>
      </c>
      <c r="J1187" s="186">
        <v>19.186046511627907</v>
      </c>
    </row>
    <row r="1188" spans="1:10">
      <c r="A1188" s="65">
        <v>6206</v>
      </c>
      <c r="B1188" s="52">
        <v>1.98</v>
      </c>
      <c r="C1188" s="184">
        <v>0.88037383177570094</v>
      </c>
      <c r="D1188" s="181">
        <v>145959595.95959595</v>
      </c>
      <c r="E1188" s="26">
        <f>VLOOKUP(6206,季財報!$A:$H,8,0)</f>
        <v>0</v>
      </c>
      <c r="F1188" s="184">
        <v>6.5916666666666667E-3</v>
      </c>
      <c r="G1188" s="54">
        <v>14479191919.191919</v>
      </c>
      <c r="H1188" s="54">
        <v>5078350000</v>
      </c>
      <c r="I1188" s="66">
        <v>2.8511606957361977</v>
      </c>
      <c r="J1188" s="186">
        <v>14.227197666688113</v>
      </c>
    </row>
    <row r="1189" spans="1:10">
      <c r="A1189" s="65">
        <v>6207</v>
      </c>
      <c r="B1189" s="52">
        <v>1.27</v>
      </c>
      <c r="C1189" s="184">
        <v>0.69753086419753085</v>
      </c>
      <c r="D1189" s="181">
        <v>84251968.503937006</v>
      </c>
      <c r="E1189" s="26">
        <f>VLOOKUP(6207,季財報!$A:$H,8,0)</f>
        <v>0</v>
      </c>
      <c r="F1189" s="184">
        <v>1.0708333333333325E-2</v>
      </c>
      <c r="G1189" s="54">
        <v>2510708661.4173226</v>
      </c>
      <c r="H1189" s="54">
        <v>2174428000</v>
      </c>
      <c r="I1189" s="66">
        <v>1.1546524701748333</v>
      </c>
      <c r="J1189" s="186">
        <v>8.4098669082293913</v>
      </c>
    </row>
    <row r="1190" spans="1:10">
      <c r="A1190" s="65">
        <v>6208</v>
      </c>
      <c r="B1190" s="52">
        <v>0.23</v>
      </c>
      <c r="C1190" s="184">
        <v>0.625</v>
      </c>
      <c r="D1190" s="181">
        <v>113043478.26086956</v>
      </c>
      <c r="E1190" s="26">
        <f>VLOOKUP(6208,季財報!$A:$H,8,0)</f>
        <v>0</v>
      </c>
      <c r="F1190" s="184">
        <v>-5.758333333333328E-3</v>
      </c>
      <c r="G1190" s="54">
        <v>1232173913.0434783</v>
      </c>
      <c r="H1190" s="54">
        <v>1297261000</v>
      </c>
      <c r="I1190" s="66">
        <v>0.94982730001401283</v>
      </c>
      <c r="J1190" s="186">
        <v>18.956521739130434</v>
      </c>
    </row>
    <row r="1191" spans="1:10">
      <c r="A1191" s="65">
        <v>6209</v>
      </c>
      <c r="B1191" s="52">
        <v>-0.25</v>
      </c>
      <c r="C1191" s="184">
        <v>0.43243243243243246</v>
      </c>
      <c r="D1191" s="181">
        <v>164000000</v>
      </c>
      <c r="E1191" s="26">
        <f>VLOOKUP(6209,季財報!$A:$H,8,0)</f>
        <v>0</v>
      </c>
      <c r="F1191" s="184">
        <v>2.5533333333333338E-2</v>
      </c>
      <c r="G1191" s="54">
        <v>2615800000</v>
      </c>
      <c r="H1191" s="54">
        <v>4158135000</v>
      </c>
      <c r="I1191" s="66">
        <v>0.62908010442181406</v>
      </c>
      <c r="J1191" s="186">
        <v>0</v>
      </c>
    </row>
    <row r="1192" spans="1:10">
      <c r="A1192" s="65">
        <v>6210</v>
      </c>
      <c r="B1192" s="52">
        <v>1.43</v>
      </c>
      <c r="C1192" s="184">
        <v>0.83950617283950613</v>
      </c>
      <c r="D1192" s="181">
        <v>34965034.965034969</v>
      </c>
      <c r="E1192" s="26">
        <f>VLOOKUP(6210,季財報!$A:$H,8,0)</f>
        <v>0</v>
      </c>
      <c r="F1192" s="184">
        <v>-1.810833333333333E-2</v>
      </c>
      <c r="G1192" s="54">
        <v>1550699300.699301</v>
      </c>
      <c r="H1192" s="54">
        <v>1011187000</v>
      </c>
      <c r="I1192" s="66">
        <v>1.533543549016454</v>
      </c>
      <c r="J1192" s="186">
        <v>9.2357825997531897</v>
      </c>
    </row>
    <row r="1193" spans="1:10">
      <c r="A1193" s="65">
        <v>6211</v>
      </c>
      <c r="B1193" s="52">
        <v>0.72</v>
      </c>
      <c r="C1193" s="184">
        <v>0</v>
      </c>
      <c r="D1193" s="181">
        <v>0</v>
      </c>
      <c r="E1193" s="26">
        <f>VLOOKUP(6211,季財報!$A:$H,8,0)</f>
        <v>0</v>
      </c>
      <c r="F1193" s="184">
        <v>2.2258333333333335E-2</v>
      </c>
      <c r="G1193" s="54">
        <v>0</v>
      </c>
      <c r="H1193" s="54">
        <v>298036000</v>
      </c>
      <c r="I1193" s="66">
        <v>0</v>
      </c>
      <c r="J1193" s="186">
        <v>0</v>
      </c>
    </row>
    <row r="1194" spans="1:10">
      <c r="A1194" s="65">
        <v>6212</v>
      </c>
      <c r="B1194" s="52">
        <v>-0.08</v>
      </c>
      <c r="C1194" s="184">
        <v>1</v>
      </c>
      <c r="D1194" s="181">
        <v>112500000</v>
      </c>
      <c r="E1194" s="26">
        <f>VLOOKUP(6212,季財報!$A:$H,8,0)</f>
        <v>0</v>
      </c>
      <c r="F1194" s="184">
        <v>-0.25013333333333332</v>
      </c>
      <c r="G1194" s="54">
        <v>2711250000</v>
      </c>
      <c r="H1194" s="54">
        <v>1304688000</v>
      </c>
      <c r="I1194" s="66">
        <v>2.0780830359442257</v>
      </c>
      <c r="J1194" s="186">
        <v>0</v>
      </c>
    </row>
    <row r="1195" spans="1:10">
      <c r="A1195" s="65">
        <v>6213</v>
      </c>
      <c r="B1195" s="52">
        <v>0.56999999999999995</v>
      </c>
      <c r="C1195" s="184">
        <v>1</v>
      </c>
      <c r="D1195" s="181">
        <v>315789473.68421054</v>
      </c>
      <c r="E1195" s="26">
        <f>VLOOKUP(6213,季財報!$A:$H,8,0)</f>
        <v>0</v>
      </c>
      <c r="F1195" s="184">
        <v>4.2166666666666646E-3</v>
      </c>
      <c r="G1195" s="54">
        <v>6900000000.000001</v>
      </c>
      <c r="H1195" s="54">
        <v>18937750000</v>
      </c>
      <c r="I1195" s="66">
        <v>0.36435162572111263</v>
      </c>
      <c r="J1195" s="186">
        <v>9.5833333333333339</v>
      </c>
    </row>
    <row r="1196" spans="1:10">
      <c r="A1196" s="65">
        <v>6214</v>
      </c>
      <c r="B1196" s="52">
        <v>-0.25</v>
      </c>
      <c r="C1196" s="184">
        <v>0.99152542372881358</v>
      </c>
      <c r="D1196" s="181">
        <v>248000000</v>
      </c>
      <c r="E1196" s="26">
        <f>VLOOKUP(6214,季財報!$A:$H,8,0)</f>
        <v>0</v>
      </c>
      <c r="F1196" s="184">
        <v>8.0083333333333326E-2</v>
      </c>
      <c r="G1196" s="54">
        <v>14309600000</v>
      </c>
      <c r="H1196" s="54">
        <v>16055883000</v>
      </c>
      <c r="I1196" s="66">
        <v>0.89123718701736931</v>
      </c>
      <c r="J1196" s="186">
        <v>0</v>
      </c>
    </row>
    <row r="1197" spans="1:10">
      <c r="A1197" s="65">
        <v>6215</v>
      </c>
      <c r="B1197" s="52">
        <v>0.16</v>
      </c>
      <c r="C1197" s="184">
        <v>1</v>
      </c>
      <c r="D1197" s="181">
        <v>81250000</v>
      </c>
      <c r="E1197" s="26">
        <f>VLOOKUP(6215,季財報!$A:$H,8,0)</f>
        <v>0</v>
      </c>
      <c r="F1197" s="184">
        <v>1.7049999999999996E-2</v>
      </c>
      <c r="G1197" s="54">
        <v>1040000000</v>
      </c>
      <c r="H1197" s="54">
        <v>1814436000</v>
      </c>
      <c r="I1197" s="66">
        <v>0.57318086722265216</v>
      </c>
      <c r="J1197" s="186">
        <v>20</v>
      </c>
    </row>
    <row r="1198" spans="1:10">
      <c r="A1198" s="65">
        <v>6216</v>
      </c>
      <c r="B1198" s="52">
        <v>0.95</v>
      </c>
      <c r="C1198" s="184">
        <v>0.76774193548387093</v>
      </c>
      <c r="D1198" s="181">
        <v>77894736.842105269</v>
      </c>
      <c r="E1198" s="26">
        <f>VLOOKUP(6216,季財報!$A:$H,8,0)</f>
        <v>0</v>
      </c>
      <c r="F1198" s="184">
        <v>1.9458333333333331E-2</v>
      </c>
      <c r="G1198" s="54">
        <v>2235578947.3684211</v>
      </c>
      <c r="H1198" s="54">
        <v>1124553000</v>
      </c>
      <c r="I1198" s="66">
        <v>1.9879711737627495</v>
      </c>
      <c r="J1198" s="186">
        <v>9.8374613003095988</v>
      </c>
    </row>
    <row r="1199" spans="1:10">
      <c r="A1199" s="65">
        <v>6217</v>
      </c>
      <c r="B1199" s="52">
        <v>1.39</v>
      </c>
      <c r="C1199" s="184">
        <v>0.70175438596491224</v>
      </c>
      <c r="D1199" s="181">
        <v>58273381.29496403</v>
      </c>
      <c r="E1199" s="26">
        <f>VLOOKUP(6217,季財報!$A:$H,8,0)</f>
        <v>0</v>
      </c>
      <c r="F1199" s="184">
        <v>4.3008333333333322E-2</v>
      </c>
      <c r="G1199" s="54">
        <v>2779640287.7697845</v>
      </c>
      <c r="H1199" s="54">
        <v>1712611000</v>
      </c>
      <c r="I1199" s="66">
        <v>1.6230424117150857</v>
      </c>
      <c r="J1199" s="186">
        <v>12.225269784172664</v>
      </c>
    </row>
    <row r="1200" spans="1:10">
      <c r="A1200" s="65">
        <v>6218</v>
      </c>
      <c r="B1200" s="52">
        <v>0.67</v>
      </c>
      <c r="C1200" s="184">
        <v>0</v>
      </c>
      <c r="D1200" s="181">
        <v>0</v>
      </c>
      <c r="E1200" s="26">
        <f>VLOOKUP(6218,季財報!$A:$H,8,0)</f>
        <v>0</v>
      </c>
      <c r="F1200" s="184">
        <v>2.9558333333333336E-2</v>
      </c>
      <c r="G1200" s="54">
        <v>0</v>
      </c>
      <c r="H1200" s="54">
        <v>1023067000</v>
      </c>
      <c r="I1200" s="66">
        <v>0</v>
      </c>
      <c r="J1200" s="186">
        <v>0</v>
      </c>
    </row>
    <row r="1201" spans="1:11">
      <c r="A1201" s="65">
        <v>6219</v>
      </c>
      <c r="B1201" s="52">
        <v>-0.01</v>
      </c>
      <c r="C1201" s="184">
        <v>0.78350515463917525</v>
      </c>
      <c r="D1201" s="181">
        <v>200000000</v>
      </c>
      <c r="E1201" s="26">
        <f>VLOOKUP(6219,季財報!$A:$H,8,0)</f>
        <v>0</v>
      </c>
      <c r="F1201" s="184">
        <v>5.6410083333333345</v>
      </c>
      <c r="G1201" s="54">
        <v>2360000000</v>
      </c>
      <c r="H1201" s="54">
        <v>2030645000</v>
      </c>
      <c r="I1201" s="66">
        <v>1.162192308355227</v>
      </c>
      <c r="J1201" s="186">
        <v>0</v>
      </c>
    </row>
    <row r="1202" spans="1:11">
      <c r="A1202" s="65">
        <v>6220</v>
      </c>
      <c r="B1202" s="52">
        <v>1.04</v>
      </c>
      <c r="C1202" s="184">
        <v>0.95</v>
      </c>
      <c r="D1202" s="181">
        <v>131730769.23076923</v>
      </c>
      <c r="E1202" s="26">
        <f>VLOOKUP(6220,季財報!$A:$H,8,0)</f>
        <v>0</v>
      </c>
      <c r="F1202" s="184">
        <v>3.8758333333333332E-2</v>
      </c>
      <c r="G1202" s="54">
        <v>1995721153.846154</v>
      </c>
      <c r="H1202" s="54">
        <v>6925635000</v>
      </c>
      <c r="I1202" s="66">
        <v>0.28816435660356832</v>
      </c>
      <c r="J1202" s="186">
        <v>3.8335020242914979</v>
      </c>
    </row>
    <row r="1203" spans="1:11">
      <c r="A1203" s="65">
        <v>6221</v>
      </c>
      <c r="B1203" s="52">
        <v>0.66</v>
      </c>
      <c r="C1203" s="184">
        <v>0.89583333333333337</v>
      </c>
      <c r="D1203" s="181">
        <v>37878787.878787875</v>
      </c>
      <c r="E1203" s="26">
        <f>VLOOKUP(6221,季財報!$A:$H,8,0)</f>
        <v>0</v>
      </c>
      <c r="F1203" s="184">
        <v>2.9216666666666669E-2</v>
      </c>
      <c r="G1203" s="54">
        <v>882575757.5757575</v>
      </c>
      <c r="H1203" s="54">
        <v>2278851000</v>
      </c>
      <c r="I1203" s="66">
        <v>0.38728980419332265</v>
      </c>
      <c r="J1203" s="186">
        <v>9.8520084566596182</v>
      </c>
    </row>
    <row r="1204" spans="1:11">
      <c r="A1204" s="65">
        <v>6222</v>
      </c>
      <c r="B1204" s="52">
        <v>-0.62</v>
      </c>
      <c r="C1204" s="184">
        <v>0.95833333333333337</v>
      </c>
      <c r="D1204" s="181">
        <v>56451612.903225809</v>
      </c>
      <c r="E1204" s="26">
        <f>VLOOKUP(6222,季財報!$A:$H,8,0)</f>
        <v>0</v>
      </c>
      <c r="F1204" s="184">
        <v>0.51369166666666655</v>
      </c>
      <c r="G1204" s="54">
        <v>423387096.77419358</v>
      </c>
      <c r="H1204" s="54">
        <v>97757000</v>
      </c>
      <c r="I1204" s="66">
        <v>4.3310156487432465</v>
      </c>
      <c r="J1204" s="186">
        <v>0</v>
      </c>
    </row>
    <row r="1205" spans="1:11">
      <c r="A1205" s="65">
        <v>6223</v>
      </c>
      <c r="B1205" s="52">
        <v>1.25</v>
      </c>
      <c r="C1205" s="184">
        <v>1</v>
      </c>
      <c r="D1205" s="181">
        <v>79200000</v>
      </c>
      <c r="E1205" s="26">
        <f>VLOOKUP(6223,季財報!$A:$H,8,0)</f>
        <v>0</v>
      </c>
      <c r="F1205" s="184">
        <v>-7.4583333333333333E-3</v>
      </c>
      <c r="G1205" s="54">
        <v>5322240000</v>
      </c>
      <c r="H1205" s="54">
        <v>4128393000</v>
      </c>
      <c r="I1205" s="66">
        <v>1.2891795911871762</v>
      </c>
      <c r="J1205" s="186">
        <v>13.440000000000001</v>
      </c>
    </row>
    <row r="1206" spans="1:11">
      <c r="A1206" s="65">
        <v>6224</v>
      </c>
      <c r="B1206" s="52">
        <v>1.6</v>
      </c>
      <c r="C1206" s="184">
        <v>0.88505747126436785</v>
      </c>
      <c r="D1206" s="181">
        <v>80000000</v>
      </c>
      <c r="E1206" s="26">
        <f>VLOOKUP(6224,季財報!$A:$H,8,0)</f>
        <v>0</v>
      </c>
      <c r="F1206" s="184">
        <v>1.7524999999999999E-2</v>
      </c>
      <c r="G1206" s="54">
        <v>5592000000</v>
      </c>
      <c r="H1206" s="54">
        <v>1648588000</v>
      </c>
      <c r="I1206" s="66">
        <v>3.3919936333395611</v>
      </c>
      <c r="J1206" s="186">
        <v>12.340300324675324</v>
      </c>
    </row>
    <row r="1207" spans="1:11">
      <c r="A1207" s="65">
        <v>6225</v>
      </c>
      <c r="B1207" s="52">
        <v>-0.11</v>
      </c>
      <c r="C1207" s="184">
        <v>1</v>
      </c>
      <c r="D1207" s="181">
        <v>90909090.909090906</v>
      </c>
      <c r="E1207" s="26">
        <f>VLOOKUP(6225,季財報!$A:$H,8,0)</f>
        <v>0</v>
      </c>
      <c r="F1207" s="184">
        <v>-3.805833333333334E-2</v>
      </c>
      <c r="G1207" s="54">
        <v>332727272.72727275</v>
      </c>
      <c r="H1207" s="54">
        <v>103790000</v>
      </c>
      <c r="I1207" s="66">
        <v>3.2057738965918947</v>
      </c>
      <c r="J1207" s="186">
        <v>0</v>
      </c>
    </row>
    <row r="1208" spans="1:11">
      <c r="A1208" s="65">
        <v>6226</v>
      </c>
      <c r="B1208" s="52">
        <v>0.04</v>
      </c>
      <c r="C1208" s="184">
        <v>0.51851851851851849</v>
      </c>
      <c r="D1208" s="181">
        <v>100000000</v>
      </c>
      <c r="E1208" s="26">
        <f>VLOOKUP(6226,季財報!$A:$H,8,0)</f>
        <v>0</v>
      </c>
      <c r="F1208" s="184">
        <v>2.7483333333333335E-2</v>
      </c>
      <c r="G1208" s="54">
        <v>600000000</v>
      </c>
      <c r="H1208" s="54">
        <v>1124954000</v>
      </c>
      <c r="I1208" s="66">
        <v>0.5333551416324579</v>
      </c>
      <c r="J1208" s="186">
        <v>50</v>
      </c>
    </row>
    <row r="1209" spans="1:11">
      <c r="A1209" s="65">
        <v>6227</v>
      </c>
      <c r="B1209" s="52">
        <v>0.54</v>
      </c>
      <c r="C1209" s="184">
        <v>1</v>
      </c>
      <c r="D1209" s="181">
        <v>75925925.925925925</v>
      </c>
      <c r="E1209" s="26">
        <f>VLOOKUP(6227,季財報!$A:$H,8,0)</f>
        <v>0</v>
      </c>
      <c r="F1209" s="184">
        <v>7.4733333333333318E-2</v>
      </c>
      <c r="G1209" s="54">
        <v>1355277777.7777779</v>
      </c>
      <c r="H1209" s="54">
        <v>5040798000</v>
      </c>
      <c r="I1209" s="66">
        <v>0.26886175121037936</v>
      </c>
      <c r="J1209" s="186">
        <v>8.2638888888888893</v>
      </c>
    </row>
    <row r="1210" spans="1:11">
      <c r="A1210" s="65">
        <v>6228</v>
      </c>
      <c r="B1210" s="52">
        <v>0.01</v>
      </c>
      <c r="C1210" s="184">
        <v>1</v>
      </c>
      <c r="D1210" s="181">
        <v>100000000</v>
      </c>
      <c r="E1210" s="26">
        <f>VLOOKUP(6228,季財報!$A:$H,8,0)</f>
        <v>0</v>
      </c>
      <c r="F1210" s="184">
        <v>0.119575</v>
      </c>
      <c r="G1210" s="54">
        <v>1210000000</v>
      </c>
      <c r="H1210" s="54">
        <v>129504000</v>
      </c>
      <c r="I1210" s="66">
        <v>9.3433407462317764</v>
      </c>
      <c r="J1210" s="186">
        <v>50</v>
      </c>
      <c r="K1210" s="32"/>
    </row>
    <row r="1211" spans="1:11">
      <c r="A1211" s="65">
        <v>6229</v>
      </c>
      <c r="B1211" s="52">
        <v>0.19</v>
      </c>
      <c r="C1211" s="184">
        <v>0</v>
      </c>
      <c r="D1211" s="181">
        <v>0</v>
      </c>
      <c r="E1211" s="26">
        <f>VLOOKUP(6229,季財報!$A:$H,8,0)</f>
        <v>0</v>
      </c>
      <c r="F1211" s="184">
        <v>6.2241666666666688E-2</v>
      </c>
      <c r="G1211" s="54">
        <v>0</v>
      </c>
      <c r="H1211" s="54">
        <v>883081000</v>
      </c>
      <c r="I1211" s="66">
        <v>0</v>
      </c>
      <c r="J1211" s="186">
        <v>0</v>
      </c>
    </row>
    <row r="1212" spans="1:11">
      <c r="A1212" s="65">
        <v>6230</v>
      </c>
      <c r="B1212" s="52">
        <v>2.56</v>
      </c>
      <c r="C1212" s="184">
        <v>0.74613003095975228</v>
      </c>
      <c r="D1212" s="181">
        <v>86328125</v>
      </c>
      <c r="E1212" s="26">
        <f>VLOOKUP(6230,季財報!$A:$H,8,0)</f>
        <v>0</v>
      </c>
      <c r="F1212" s="184">
        <v>2.6124999999999999E-2</v>
      </c>
      <c r="G1212" s="54">
        <v>6811289062.500001</v>
      </c>
      <c r="H1212" s="54">
        <v>5907350000</v>
      </c>
      <c r="I1212" s="66">
        <v>1.1530193847495072</v>
      </c>
      <c r="J1212" s="186">
        <v>10.326722964211619</v>
      </c>
    </row>
    <row r="1213" spans="1:11">
      <c r="A1213" s="65">
        <v>6231</v>
      </c>
      <c r="B1213" s="52">
        <v>0.12</v>
      </c>
      <c r="C1213" s="184">
        <v>0.43333333333333335</v>
      </c>
      <c r="D1213" s="181">
        <v>41666666.666666672</v>
      </c>
      <c r="E1213" s="26">
        <f>VLOOKUP(6231,季財報!$A:$H,8,0)</f>
        <v>0</v>
      </c>
      <c r="F1213" s="184">
        <v>7.3516666666666688E-2</v>
      </c>
      <c r="G1213" s="54">
        <v>1245833333.3333335</v>
      </c>
      <c r="H1213" s="54">
        <v>836408000</v>
      </c>
      <c r="I1213" s="66">
        <v>1.4895043248430593</v>
      </c>
      <c r="J1213" s="186">
        <v>50</v>
      </c>
    </row>
    <row r="1214" spans="1:11">
      <c r="A1214" s="65">
        <v>6233</v>
      </c>
      <c r="B1214" s="52">
        <v>0.04</v>
      </c>
      <c r="C1214" s="184">
        <v>1</v>
      </c>
      <c r="D1214" s="181">
        <v>75000000</v>
      </c>
      <c r="E1214" s="26">
        <f>VLOOKUP(6233,季財報!$A:$H,8,0)</f>
        <v>0</v>
      </c>
      <c r="F1214" s="184">
        <v>5.4133333333333332E-2</v>
      </c>
      <c r="G1214" s="54">
        <v>963750000</v>
      </c>
      <c r="H1214" s="54">
        <v>417881000</v>
      </c>
      <c r="I1214" s="66">
        <v>2.306278581701489</v>
      </c>
      <c r="J1214" s="186">
        <v>50</v>
      </c>
    </row>
    <row r="1215" spans="1:11">
      <c r="A1215" s="65">
        <v>6234</v>
      </c>
      <c r="B1215" s="52">
        <v>0.27</v>
      </c>
      <c r="C1215" s="184">
        <v>0</v>
      </c>
      <c r="D1215" s="181">
        <v>70370370.370370373</v>
      </c>
      <c r="E1215" s="26">
        <f>VLOOKUP(6234,季財報!$A:$H,8,0)</f>
        <v>0</v>
      </c>
      <c r="F1215" s="184">
        <v>-5.5666666666666677E-3</v>
      </c>
      <c r="G1215" s="54">
        <v>1389814814.8148148</v>
      </c>
      <c r="H1215" s="54">
        <v>1190972000</v>
      </c>
      <c r="I1215" s="66">
        <v>1.1669584295976856</v>
      </c>
      <c r="J1215" s="186">
        <v>0</v>
      </c>
    </row>
    <row r="1216" spans="1:11">
      <c r="A1216" s="65">
        <v>6235</v>
      </c>
      <c r="B1216" s="52">
        <v>-0.09</v>
      </c>
      <c r="C1216" s="184">
        <v>0</v>
      </c>
      <c r="D1216" s="181">
        <v>155555555.55555555</v>
      </c>
      <c r="E1216" s="26">
        <f>VLOOKUP(6235,季財報!$A:$H,8,0)</f>
        <v>0</v>
      </c>
      <c r="F1216" s="184">
        <v>6.08E-2</v>
      </c>
      <c r="G1216" s="54">
        <v>1356444444.4444444</v>
      </c>
      <c r="H1216" s="54">
        <v>1671130000</v>
      </c>
      <c r="I1216" s="66">
        <v>0.81169295293869681</v>
      </c>
      <c r="J1216" s="186">
        <v>0</v>
      </c>
    </row>
    <row r="1217" spans="1:10">
      <c r="A1217" s="65">
        <v>6236</v>
      </c>
      <c r="B1217" s="52">
        <v>-0.35</v>
      </c>
      <c r="C1217" s="184">
        <v>1</v>
      </c>
      <c r="D1217" s="181">
        <v>31428571.428571429</v>
      </c>
      <c r="E1217" s="26">
        <f>VLOOKUP(6236,季財報!$A:$H,8,0)</f>
        <v>0</v>
      </c>
      <c r="F1217" s="184">
        <v>2.2699999999999998E-2</v>
      </c>
      <c r="G1217" s="54">
        <v>1030857142.8571428</v>
      </c>
      <c r="H1217" s="54">
        <v>165226000</v>
      </c>
      <c r="I1217" s="66">
        <v>6.2390734076788323</v>
      </c>
      <c r="J1217" s="186">
        <v>0</v>
      </c>
    </row>
    <row r="1218" spans="1:10">
      <c r="A1218" s="65">
        <v>6237</v>
      </c>
      <c r="B1218" s="52">
        <v>1.57</v>
      </c>
      <c r="C1218" s="184">
        <v>0</v>
      </c>
      <c r="D1218" s="181">
        <v>77707006.369426742</v>
      </c>
      <c r="E1218" s="26">
        <f>VLOOKUP(6237,季財報!$A:$H,8,0)</f>
        <v>0</v>
      </c>
      <c r="F1218" s="184">
        <v>3.2575E-2</v>
      </c>
      <c r="G1218" s="54">
        <v>2758598726.1146493</v>
      </c>
      <c r="H1218" s="54">
        <v>363140000</v>
      </c>
      <c r="I1218" s="66">
        <v>7.5965157408014798</v>
      </c>
      <c r="J1218" s="186">
        <v>0</v>
      </c>
    </row>
    <row r="1219" spans="1:10">
      <c r="A1219" s="65">
        <v>6238</v>
      </c>
      <c r="B1219" s="52">
        <v>3.12</v>
      </c>
      <c r="C1219" s="184">
        <v>1</v>
      </c>
      <c r="D1219" s="181">
        <v>40064102.56410256</v>
      </c>
      <c r="E1219" s="26">
        <f>VLOOKUP(6238,季財報!$A:$H,8,0)</f>
        <v>0</v>
      </c>
      <c r="F1219" s="184">
        <v>0.12621666666666667</v>
      </c>
      <c r="G1219" s="54">
        <v>6470352564.1025639</v>
      </c>
      <c r="H1219" s="54">
        <v>2313401000</v>
      </c>
      <c r="I1219" s="66">
        <v>2.7969005650566259</v>
      </c>
      <c r="J1219" s="186">
        <v>12.940705128205128</v>
      </c>
    </row>
    <row r="1220" spans="1:10">
      <c r="A1220" s="65">
        <v>6239</v>
      </c>
      <c r="B1220" s="52">
        <v>1.42</v>
      </c>
      <c r="C1220" s="184">
        <v>0.9273356401384083</v>
      </c>
      <c r="D1220" s="181">
        <v>771830985.91549301</v>
      </c>
      <c r="E1220" s="26">
        <f>VLOOKUP(6239,季財報!$A:$H,8,0)</f>
        <v>0</v>
      </c>
      <c r="F1220" s="184">
        <v>1.5324999999999997E-2</v>
      </c>
      <c r="G1220" s="54">
        <v>55571830985.915497</v>
      </c>
      <c r="H1220" s="54">
        <v>40821571000</v>
      </c>
      <c r="I1220" s="66">
        <v>1.3613349419089114</v>
      </c>
      <c r="J1220" s="186">
        <v>13.669329409291572</v>
      </c>
    </row>
    <row r="1221" spans="1:10">
      <c r="A1221" s="65">
        <v>6240</v>
      </c>
      <c r="B1221" s="52">
        <v>1.33</v>
      </c>
      <c r="C1221" s="184">
        <v>0.7</v>
      </c>
      <c r="D1221" s="181">
        <v>23308270.67669173</v>
      </c>
      <c r="E1221" s="26">
        <f>VLOOKUP(6240,季財報!$A:$H,8,0)</f>
        <v>0</v>
      </c>
      <c r="F1221" s="184">
        <v>4.1466666666666659E-2</v>
      </c>
      <c r="G1221" s="54">
        <v>0</v>
      </c>
      <c r="H1221" s="54">
        <v>241154000</v>
      </c>
      <c r="I1221" s="66">
        <v>0</v>
      </c>
      <c r="J1221" s="186">
        <v>0</v>
      </c>
    </row>
    <row r="1222" spans="1:10">
      <c r="A1222" s="65">
        <v>6241</v>
      </c>
      <c r="B1222" s="52">
        <v>0.12</v>
      </c>
      <c r="C1222" s="184">
        <v>1</v>
      </c>
      <c r="D1222" s="181">
        <v>25000000</v>
      </c>
      <c r="E1222" s="26">
        <f>VLOOKUP(6241,季財報!$A:$H,8,0)</f>
        <v>0</v>
      </c>
      <c r="F1222" s="184">
        <v>0.51536666666666675</v>
      </c>
      <c r="G1222" s="54">
        <v>357500000</v>
      </c>
      <c r="H1222" s="54">
        <v>140108000</v>
      </c>
      <c r="I1222" s="66">
        <v>2.5516030490764265</v>
      </c>
      <c r="J1222" s="186">
        <v>29.791666666666668</v>
      </c>
    </row>
    <row r="1223" spans="1:10">
      <c r="A1223" s="65">
        <v>6242</v>
      </c>
      <c r="B1223" s="52">
        <v>0.38</v>
      </c>
      <c r="C1223" s="184">
        <v>0.9642857142857143</v>
      </c>
      <c r="D1223" s="181">
        <v>21052631.578947369</v>
      </c>
      <c r="E1223" s="26">
        <f>VLOOKUP(6242,季財報!$A:$H,8,0)</f>
        <v>0</v>
      </c>
      <c r="F1223" s="184">
        <v>7.4650000000000008E-2</v>
      </c>
      <c r="G1223" s="54">
        <v>0</v>
      </c>
      <c r="H1223" s="54">
        <v>446380000</v>
      </c>
      <c r="I1223" s="66">
        <v>0</v>
      </c>
      <c r="J1223" s="186">
        <v>0</v>
      </c>
    </row>
    <row r="1224" spans="1:10">
      <c r="A1224" s="65">
        <v>6243</v>
      </c>
      <c r="B1224" s="52">
        <v>-0.03</v>
      </c>
      <c r="C1224" s="184">
        <v>1</v>
      </c>
      <c r="D1224" s="181">
        <v>66666666.666666672</v>
      </c>
      <c r="E1224" s="26">
        <f>VLOOKUP(6243,季財報!$A:$H,8,0)</f>
        <v>0</v>
      </c>
      <c r="F1224" s="184">
        <v>2.2091666666666673E-2</v>
      </c>
      <c r="G1224" s="54">
        <v>1063333333.3333334</v>
      </c>
      <c r="H1224" s="54">
        <v>499751000</v>
      </c>
      <c r="I1224" s="66">
        <v>2.1277262743512937</v>
      </c>
      <c r="J1224" s="186">
        <v>0</v>
      </c>
    </row>
    <row r="1225" spans="1:10">
      <c r="A1225" s="65">
        <v>6244</v>
      </c>
      <c r="B1225" s="52">
        <v>0.09</v>
      </c>
      <c r="C1225" s="184">
        <v>0.96626984126984128</v>
      </c>
      <c r="D1225" s="181">
        <v>500000000</v>
      </c>
      <c r="E1225" s="26">
        <f>VLOOKUP(6244,季財報!$A:$H,8,0)</f>
        <v>0</v>
      </c>
      <c r="F1225" s="184">
        <v>5.6908333333333339E-2</v>
      </c>
      <c r="G1225" s="54">
        <v>21750000000</v>
      </c>
      <c r="H1225" s="54">
        <v>22320767000</v>
      </c>
      <c r="I1225" s="66">
        <v>0.97442888051293219</v>
      </c>
      <c r="J1225" s="186">
        <v>50</v>
      </c>
    </row>
    <row r="1226" spans="1:10">
      <c r="A1226" s="65">
        <v>6245</v>
      </c>
      <c r="B1226" s="52">
        <v>1.24</v>
      </c>
      <c r="C1226" s="184">
        <v>0.75657894736842102</v>
      </c>
      <c r="D1226" s="181">
        <v>98387096.774193555</v>
      </c>
      <c r="E1226" s="26">
        <f>VLOOKUP(6245,季財報!$A:$H,8,0)</f>
        <v>0</v>
      </c>
      <c r="F1226" s="184">
        <v>6.0316666666666657E-2</v>
      </c>
      <c r="G1226" s="54">
        <v>4220806451.6129036</v>
      </c>
      <c r="H1226" s="54">
        <v>5264569000</v>
      </c>
      <c r="I1226" s="66">
        <v>0.8017382717584105</v>
      </c>
      <c r="J1226" s="186">
        <v>11.431977559607294</v>
      </c>
    </row>
    <row r="1227" spans="1:10">
      <c r="A1227" s="65">
        <v>6246</v>
      </c>
      <c r="B1227" s="52">
        <v>0.13</v>
      </c>
      <c r="C1227" s="184">
        <v>0</v>
      </c>
      <c r="D1227" s="181">
        <v>130769230.76923077</v>
      </c>
      <c r="E1227" s="26">
        <f>VLOOKUP(6246,季財報!$A:$H,8,0)</f>
        <v>0</v>
      </c>
      <c r="F1227" s="184">
        <v>-2.293333333333333E-2</v>
      </c>
      <c r="G1227" s="54">
        <v>298153846.15384614</v>
      </c>
      <c r="H1227" s="54">
        <v>901603000</v>
      </c>
      <c r="I1227" s="66">
        <v>0.33069305021594442</v>
      </c>
      <c r="J1227" s="186">
        <v>0</v>
      </c>
    </row>
    <row r="1228" spans="1:10">
      <c r="A1228" s="65">
        <v>6247</v>
      </c>
      <c r="B1228" s="52">
        <v>0.96</v>
      </c>
      <c r="C1228" s="184">
        <v>0.44736842105263158</v>
      </c>
      <c r="D1228" s="181">
        <v>60416666.666666672</v>
      </c>
      <c r="E1228" s="26">
        <f>VLOOKUP(6247,季財報!$A:$H,8,0)</f>
        <v>0</v>
      </c>
      <c r="F1228" s="184">
        <v>3.1649999999999984E-2</v>
      </c>
      <c r="G1228" s="54">
        <v>873020833.33333337</v>
      </c>
      <c r="H1228" s="54">
        <v>1380203000</v>
      </c>
      <c r="I1228" s="66">
        <v>0.63253074608107163</v>
      </c>
      <c r="J1228" s="186">
        <v>8.4114583333333339</v>
      </c>
    </row>
    <row r="1229" spans="1:10">
      <c r="A1229" s="65">
        <v>6248</v>
      </c>
      <c r="B1229" s="52">
        <v>0.54</v>
      </c>
      <c r="C1229" s="184">
        <v>1</v>
      </c>
      <c r="D1229" s="181">
        <v>35185185.185185187</v>
      </c>
      <c r="E1229" s="26">
        <f>VLOOKUP(6248,季財報!$A:$H,8,0)</f>
        <v>0</v>
      </c>
      <c r="F1229" s="184">
        <v>5.2916666666666572E-3</v>
      </c>
      <c r="G1229" s="54">
        <v>809259259.25925934</v>
      </c>
      <c r="H1229" s="54">
        <v>1320765000</v>
      </c>
      <c r="I1229" s="66">
        <v>0.61272009726125343</v>
      </c>
      <c r="J1229" s="186">
        <v>10.648148148148147</v>
      </c>
    </row>
    <row r="1230" spans="1:10">
      <c r="A1230" s="65">
        <v>6250</v>
      </c>
      <c r="B1230" s="52">
        <v>-2.48</v>
      </c>
      <c r="C1230" s="184">
        <v>0.97826086956521741</v>
      </c>
      <c r="D1230" s="181">
        <v>18145161.290322579</v>
      </c>
      <c r="E1230" s="26">
        <f>VLOOKUP(6250,季財報!$A:$H,8,0)</f>
        <v>0</v>
      </c>
      <c r="F1230" s="184">
        <v>0.59587500000000004</v>
      </c>
      <c r="G1230" s="54">
        <v>0</v>
      </c>
      <c r="H1230" s="54">
        <v>135458000</v>
      </c>
      <c r="I1230" s="66">
        <v>0</v>
      </c>
      <c r="J1230" s="186">
        <v>0</v>
      </c>
    </row>
    <row r="1231" spans="1:10">
      <c r="A1231" s="65">
        <v>6251</v>
      </c>
      <c r="B1231" s="52">
        <v>0.17</v>
      </c>
      <c r="C1231" s="184">
        <v>1</v>
      </c>
      <c r="D1231" s="181">
        <v>294117647.05882353</v>
      </c>
      <c r="E1231" s="26">
        <f>VLOOKUP(6251,季財報!$A:$H,8,0)</f>
        <v>0</v>
      </c>
      <c r="F1231" s="184">
        <v>1.1008333333333328E-2</v>
      </c>
      <c r="G1231" s="54">
        <v>2752941176.4705882</v>
      </c>
      <c r="H1231" s="54">
        <v>10895826000</v>
      </c>
      <c r="I1231" s="66">
        <v>0.25266016330203772</v>
      </c>
      <c r="J1231" s="186">
        <v>13.76470588235294</v>
      </c>
    </row>
    <row r="1232" spans="1:10">
      <c r="A1232" s="65">
        <v>6257</v>
      </c>
      <c r="B1232" s="52">
        <v>0.59</v>
      </c>
      <c r="C1232" s="184">
        <v>0.90322580645161288</v>
      </c>
      <c r="D1232" s="181">
        <v>361016949.15254241</v>
      </c>
      <c r="E1232" s="26">
        <f>VLOOKUP(6257,季財報!$A:$H,8,0)</f>
        <v>0</v>
      </c>
      <c r="F1232" s="184">
        <v>-7.9166666666666502E-4</v>
      </c>
      <c r="G1232" s="54">
        <v>8429745762.7118654</v>
      </c>
      <c r="H1232" s="54">
        <v>5037755000</v>
      </c>
      <c r="I1232" s="66">
        <v>1.6733139588391786</v>
      </c>
      <c r="J1232" s="186">
        <v>10.954146489104119</v>
      </c>
    </row>
    <row r="1233" spans="1:10">
      <c r="A1233" s="65">
        <v>6259</v>
      </c>
      <c r="B1233" s="52">
        <v>-0.39</v>
      </c>
      <c r="C1233" s="184">
        <v>1</v>
      </c>
      <c r="D1233" s="181">
        <v>71794871.794871792</v>
      </c>
      <c r="E1233" s="26">
        <f>VLOOKUP(6259,季財報!$A:$H,8,0)</f>
        <v>0</v>
      </c>
      <c r="F1233" s="184">
        <v>1.6399999999999994E-2</v>
      </c>
      <c r="G1233" s="54">
        <v>586564102.56410253</v>
      </c>
      <c r="H1233" s="54">
        <v>1303205000</v>
      </c>
      <c r="I1233" s="66">
        <v>0.45009350222267602</v>
      </c>
      <c r="J1233" s="186">
        <v>0</v>
      </c>
    </row>
    <row r="1234" spans="1:10">
      <c r="A1234" s="65">
        <v>6261</v>
      </c>
      <c r="B1234" s="52">
        <v>0.8</v>
      </c>
      <c r="C1234" s="184">
        <v>0.94979079497907948</v>
      </c>
      <c r="D1234" s="181">
        <v>127500000</v>
      </c>
      <c r="E1234" s="26">
        <f>VLOOKUP(6261,季財報!$A:$H,8,0)</f>
        <v>0</v>
      </c>
      <c r="F1234" s="184">
        <v>3.400000000000005E-3</v>
      </c>
      <c r="G1234" s="54">
        <v>5686500000</v>
      </c>
      <c r="H1234" s="54">
        <v>3729801000</v>
      </c>
      <c r="I1234" s="66">
        <v>1.5246121709978628</v>
      </c>
      <c r="J1234" s="186">
        <v>14.674284140969162</v>
      </c>
    </row>
    <row r="1235" spans="1:10">
      <c r="A1235" s="65">
        <v>6263</v>
      </c>
      <c r="B1235" s="52">
        <v>1.07</v>
      </c>
      <c r="C1235" s="184">
        <v>0.90298507462686572</v>
      </c>
      <c r="D1235" s="181">
        <v>62616822.42990654</v>
      </c>
      <c r="E1235" s="26">
        <f>VLOOKUP(6263,季財報!$A:$H,8,0)</f>
        <v>0</v>
      </c>
      <c r="F1235" s="184">
        <v>1.5683333333333334E-2</v>
      </c>
      <c r="G1235" s="54">
        <v>3065093457.9439254</v>
      </c>
      <c r="H1235" s="54">
        <v>1303004000</v>
      </c>
      <c r="I1235" s="66">
        <v>2.3523285100766578</v>
      </c>
      <c r="J1235" s="186">
        <v>12.665675446049276</v>
      </c>
    </row>
    <row r="1236" spans="1:10">
      <c r="A1236" s="65">
        <v>6264</v>
      </c>
      <c r="B1236" s="52">
        <v>-0.23</v>
      </c>
      <c r="C1236" s="184">
        <v>0.83050847457627119</v>
      </c>
      <c r="D1236" s="181">
        <v>139130434.78260869</v>
      </c>
      <c r="E1236" s="26">
        <f>VLOOKUP(6264,季財報!$A:$H,8,0)</f>
        <v>0</v>
      </c>
      <c r="F1236" s="184">
        <v>0.18629166666666666</v>
      </c>
      <c r="G1236" s="54">
        <v>848695652.173913</v>
      </c>
      <c r="H1236" s="54">
        <v>27778000</v>
      </c>
      <c r="I1236" s="66">
        <v>10</v>
      </c>
      <c r="J1236" s="186">
        <v>0</v>
      </c>
    </row>
    <row r="1237" spans="1:10">
      <c r="A1237" s="65">
        <v>6265</v>
      </c>
      <c r="B1237" s="52">
        <v>0.41</v>
      </c>
      <c r="C1237" s="184">
        <v>0</v>
      </c>
      <c r="D1237" s="181">
        <v>117073170.73170732</v>
      </c>
      <c r="E1237" s="26">
        <f>VLOOKUP(6265,季財報!$A:$H,8,0)</f>
        <v>0</v>
      </c>
      <c r="F1237" s="184">
        <v>2.4425000000000002E-2</v>
      </c>
      <c r="G1237" s="54">
        <v>875707317.07317078</v>
      </c>
      <c r="H1237" s="54">
        <v>9379252000</v>
      </c>
      <c r="I1237" s="66">
        <v>9.3366434452680322E-2</v>
      </c>
      <c r="J1237" s="186">
        <v>0</v>
      </c>
    </row>
    <row r="1238" spans="1:10">
      <c r="A1238" s="65">
        <v>6266</v>
      </c>
      <c r="B1238" s="52">
        <v>0.23</v>
      </c>
      <c r="C1238" s="184">
        <v>0.5636363636363636</v>
      </c>
      <c r="D1238" s="181">
        <v>86956521.739130437</v>
      </c>
      <c r="E1238" s="26">
        <f>VLOOKUP(6266,季財報!$A:$H,8,0)</f>
        <v>0</v>
      </c>
      <c r="F1238" s="184">
        <v>3.0374999999999996E-2</v>
      </c>
      <c r="G1238" s="54">
        <v>1113043478.2608697</v>
      </c>
      <c r="H1238" s="54">
        <v>2086352000</v>
      </c>
      <c r="I1238" s="66">
        <v>0.53348786698547024</v>
      </c>
      <c r="J1238" s="186">
        <v>24.684431977559608</v>
      </c>
    </row>
    <row r="1239" spans="1:10">
      <c r="A1239" s="65">
        <v>6269</v>
      </c>
      <c r="B1239" s="52">
        <v>3.34</v>
      </c>
      <c r="C1239" s="184">
        <v>0.89507154213036566</v>
      </c>
      <c r="D1239" s="181">
        <v>269161676.64670658</v>
      </c>
      <c r="E1239" s="26">
        <f>VLOOKUP(6269,季財報!$A:$H,8,0)</f>
        <v>0</v>
      </c>
      <c r="F1239" s="184">
        <v>7.4616666666666637E-2</v>
      </c>
      <c r="G1239" s="54">
        <v>25516526946.107784</v>
      </c>
      <c r="H1239" s="54">
        <v>18979050000</v>
      </c>
      <c r="I1239" s="66">
        <v>1.3444575437710415</v>
      </c>
      <c r="J1239" s="186">
        <v>7.9276438242520291</v>
      </c>
    </row>
    <row r="1240" spans="1:10">
      <c r="A1240" s="65">
        <v>6270</v>
      </c>
      <c r="B1240" s="52">
        <v>0.12</v>
      </c>
      <c r="C1240" s="184">
        <v>0.45454545454545453</v>
      </c>
      <c r="D1240" s="181">
        <v>75000000</v>
      </c>
      <c r="E1240" s="26">
        <f>VLOOKUP(6270,季財報!$A:$H,8,0)</f>
        <v>0</v>
      </c>
      <c r="F1240" s="184">
        <v>8.6500000000000014E-3</v>
      </c>
      <c r="G1240" s="54">
        <v>783750000</v>
      </c>
      <c r="H1240" s="54">
        <v>2284337000</v>
      </c>
      <c r="I1240" s="66">
        <v>0.34309736260455442</v>
      </c>
      <c r="J1240" s="186">
        <v>47.895833333333336</v>
      </c>
    </row>
    <row r="1241" spans="1:10">
      <c r="A1241" s="65">
        <v>6271</v>
      </c>
      <c r="B1241" s="52">
        <v>2.44</v>
      </c>
      <c r="C1241" s="184">
        <v>0.88487972508591062</v>
      </c>
      <c r="D1241" s="181">
        <v>162704918.03278688</v>
      </c>
      <c r="E1241" s="26">
        <f>VLOOKUP(6271,季財報!$A:$H,8,0)</f>
        <v>0</v>
      </c>
      <c r="F1241" s="184">
        <v>-2.1583333333333294E-3</v>
      </c>
      <c r="G1241" s="54">
        <v>13309262295.081966</v>
      </c>
      <c r="H1241" s="54">
        <v>7722971000</v>
      </c>
      <c r="I1241" s="66">
        <v>1.7233344907137378</v>
      </c>
      <c r="J1241" s="186">
        <v>9.4715104249562305</v>
      </c>
    </row>
    <row r="1242" spans="1:10">
      <c r="A1242" s="65">
        <v>6274</v>
      </c>
      <c r="B1242" s="52">
        <v>0.92</v>
      </c>
      <c r="C1242" s="184">
        <v>0.99748743718592969</v>
      </c>
      <c r="D1242" s="181">
        <v>241304347.82608694</v>
      </c>
      <c r="E1242" s="26">
        <f>VLOOKUP(6274,季財報!$A:$H,8,0)</f>
        <v>0</v>
      </c>
      <c r="F1242" s="184">
        <v>-5.8166666666666653E-3</v>
      </c>
      <c r="G1242" s="54">
        <v>7202934782.608695</v>
      </c>
      <c r="H1242" s="54">
        <v>12994730000</v>
      </c>
      <c r="I1242" s="66">
        <v>0.5542966096724361</v>
      </c>
      <c r="J1242" s="186">
        <v>8.1318448143686339</v>
      </c>
    </row>
    <row r="1243" spans="1:10">
      <c r="A1243" s="65">
        <v>6275</v>
      </c>
      <c r="B1243" s="52">
        <v>0.15</v>
      </c>
      <c r="C1243" s="184">
        <v>0.23529411764705882</v>
      </c>
      <c r="D1243" s="181">
        <v>53333333.333333336</v>
      </c>
      <c r="E1243" s="26">
        <f>VLOOKUP(6275,季財報!$A:$H,8,0)</f>
        <v>0</v>
      </c>
      <c r="F1243" s="184">
        <v>6.1583333333333325E-3</v>
      </c>
      <c r="G1243" s="54">
        <v>674666666.66666675</v>
      </c>
      <c r="H1243" s="54">
        <v>2071762000</v>
      </c>
      <c r="I1243" s="66">
        <v>0.32564873120882937</v>
      </c>
      <c r="J1243" s="186">
        <v>50</v>
      </c>
    </row>
    <row r="1244" spans="1:10">
      <c r="A1244" s="65">
        <v>6276</v>
      </c>
      <c r="B1244" s="52">
        <v>-0.62</v>
      </c>
      <c r="C1244" s="184">
        <v>1</v>
      </c>
      <c r="D1244" s="181">
        <v>43548387.096774191</v>
      </c>
      <c r="E1244" s="26">
        <f>VLOOKUP(6276,季財報!$A:$H,8,0)</f>
        <v>0</v>
      </c>
      <c r="F1244" s="184">
        <v>1.065833333333333E-2</v>
      </c>
      <c r="G1244" s="54">
        <v>337064516.12903225</v>
      </c>
      <c r="H1244" s="54">
        <v>1328524000</v>
      </c>
      <c r="I1244" s="66">
        <v>0.25371353180599843</v>
      </c>
      <c r="J1244" s="186">
        <v>0</v>
      </c>
    </row>
    <row r="1245" spans="1:10">
      <c r="A1245" s="65">
        <v>6277</v>
      </c>
      <c r="B1245" s="52">
        <v>1.62</v>
      </c>
      <c r="C1245" s="184">
        <v>0.88484848484848488</v>
      </c>
      <c r="D1245" s="181">
        <v>119753086.41975307</v>
      </c>
      <c r="E1245" s="26">
        <f>VLOOKUP(6277,季財報!$A:$H,8,0)</f>
        <v>0</v>
      </c>
      <c r="F1245" s="184">
        <v>3.4000000000000024E-3</v>
      </c>
      <c r="G1245" s="54">
        <v>8466543209.876543</v>
      </c>
      <c r="H1245" s="54">
        <v>4892349000</v>
      </c>
      <c r="I1245" s="66">
        <v>1.7305681197062073</v>
      </c>
      <c r="J1245" s="186">
        <v>12.330352612886859</v>
      </c>
    </row>
    <row r="1246" spans="1:10">
      <c r="A1246" s="65">
        <v>6278</v>
      </c>
      <c r="B1246" s="52">
        <v>0.78</v>
      </c>
      <c r="C1246" s="184">
        <v>1</v>
      </c>
      <c r="D1246" s="181">
        <v>294871794.87179488</v>
      </c>
      <c r="E1246" s="26">
        <f>VLOOKUP(6278,季財報!$A:$H,8,0)</f>
        <v>0</v>
      </c>
      <c r="F1246" s="184">
        <v>-3.133333333333333E-3</v>
      </c>
      <c r="G1246" s="54">
        <v>9096794871.7948723</v>
      </c>
      <c r="H1246" s="54">
        <v>30399748000</v>
      </c>
      <c r="I1246" s="66">
        <v>0.29923915394939699</v>
      </c>
      <c r="J1246" s="186">
        <v>9.8878205128205128</v>
      </c>
    </row>
    <row r="1247" spans="1:10">
      <c r="A1247" s="65">
        <v>6279</v>
      </c>
      <c r="B1247" s="52">
        <v>2.0299999999999998</v>
      </c>
      <c r="C1247" s="184">
        <v>0.83783783783783783</v>
      </c>
      <c r="D1247" s="181">
        <v>97044334.975369468</v>
      </c>
      <c r="E1247" s="26">
        <f>VLOOKUP(6279,季財報!$A:$H,8,0)</f>
        <v>0</v>
      </c>
      <c r="F1247" s="184">
        <v>1.1749999999999997E-2</v>
      </c>
      <c r="G1247" s="54">
        <v>14508128078.817736</v>
      </c>
      <c r="H1247" s="54">
        <v>3349250000</v>
      </c>
      <c r="I1247" s="66">
        <v>4.3317542968777296</v>
      </c>
      <c r="J1247" s="186">
        <v>21.97481328460194</v>
      </c>
    </row>
    <row r="1248" spans="1:10">
      <c r="A1248" s="65">
        <v>6281</v>
      </c>
      <c r="B1248" s="52">
        <v>0.88</v>
      </c>
      <c r="C1248" s="184">
        <v>0.94444444444444442</v>
      </c>
      <c r="D1248" s="181">
        <v>98863636.36363636</v>
      </c>
      <c r="E1248" s="26">
        <f>VLOOKUP(6281,季財報!$A:$H,8,0)</f>
        <v>0</v>
      </c>
      <c r="F1248" s="184">
        <v>2.101666666666667E-2</v>
      </c>
      <c r="G1248" s="54">
        <v>5615454545.454545</v>
      </c>
      <c r="H1248" s="54">
        <v>16192120000</v>
      </c>
      <c r="I1248" s="66">
        <v>0.34680168782435811</v>
      </c>
      <c r="J1248" s="186">
        <v>17.085561497326204</v>
      </c>
    </row>
    <row r="1249" spans="1:10">
      <c r="A1249" s="65">
        <v>6282</v>
      </c>
      <c r="B1249" s="52">
        <v>0.56000000000000005</v>
      </c>
      <c r="C1249" s="184">
        <v>0.53417721518987338</v>
      </c>
      <c r="D1249" s="181">
        <v>519642857.14285707</v>
      </c>
      <c r="E1249" s="26">
        <f>VLOOKUP(6282,季財報!$A:$H,8,0)</f>
        <v>0</v>
      </c>
      <c r="F1249" s="184">
        <v>2.0000000000000005E-3</v>
      </c>
      <c r="G1249" s="54">
        <v>14446071428.571426</v>
      </c>
      <c r="H1249" s="54">
        <v>21298527000</v>
      </c>
      <c r="I1249" s="66">
        <v>0.67826622134814418</v>
      </c>
      <c r="J1249" s="186">
        <v>23.23332769126608</v>
      </c>
    </row>
    <row r="1250" spans="1:10">
      <c r="A1250" s="65">
        <v>6283</v>
      </c>
      <c r="B1250" s="52">
        <v>-0.08</v>
      </c>
      <c r="C1250" s="184">
        <v>1</v>
      </c>
      <c r="D1250" s="181">
        <v>125000000</v>
      </c>
      <c r="E1250" s="26">
        <f>VLOOKUP(6283,季財報!$A:$H,8,0)</f>
        <v>0</v>
      </c>
      <c r="F1250" s="184">
        <v>1.5016666666666659E-2</v>
      </c>
      <c r="G1250" s="54">
        <v>593750000</v>
      </c>
      <c r="H1250" s="54">
        <v>971826000</v>
      </c>
      <c r="I1250" s="66">
        <v>0.61096327943479589</v>
      </c>
      <c r="J1250" s="186">
        <v>0</v>
      </c>
    </row>
    <row r="1251" spans="1:10">
      <c r="A1251" s="65">
        <v>6284</v>
      </c>
      <c r="B1251" s="52">
        <v>0.57999999999999996</v>
      </c>
      <c r="C1251" s="184">
        <v>0</v>
      </c>
      <c r="D1251" s="181">
        <v>94827586.206896558</v>
      </c>
      <c r="E1251" s="26">
        <f>VLOOKUP(6284,季財報!$A:$H,8,0)</f>
        <v>0</v>
      </c>
      <c r="F1251" s="184">
        <v>6.5916666666666667E-3</v>
      </c>
      <c r="G1251" s="54">
        <v>2200000000</v>
      </c>
      <c r="H1251" s="54">
        <v>3469152000</v>
      </c>
      <c r="I1251" s="66">
        <v>0.63416074014629509</v>
      </c>
      <c r="J1251" s="186">
        <v>0</v>
      </c>
    </row>
    <row r="1252" spans="1:10">
      <c r="A1252" s="65">
        <v>6285</v>
      </c>
      <c r="B1252" s="52">
        <v>1.83</v>
      </c>
      <c r="C1252" s="184">
        <v>0.78621378621378624</v>
      </c>
      <c r="D1252" s="181">
        <v>330601092.89617485</v>
      </c>
      <c r="E1252" s="26">
        <f>VLOOKUP(6285,季財報!$A:$H,8,0)</f>
        <v>0</v>
      </c>
      <c r="F1252" s="184">
        <v>2.2541666666666668E-2</v>
      </c>
      <c r="G1252" s="54">
        <v>29159016393.442623</v>
      </c>
      <c r="H1252" s="54">
        <v>49979111000</v>
      </c>
      <c r="I1252" s="66">
        <v>0.58342407077714176</v>
      </c>
      <c r="J1252" s="186">
        <v>15.325577519945007</v>
      </c>
    </row>
    <row r="1253" spans="1:10">
      <c r="A1253" s="65">
        <v>6286</v>
      </c>
      <c r="B1253" s="52">
        <v>2.93</v>
      </c>
      <c r="C1253" s="184">
        <v>0.9085213032581454</v>
      </c>
      <c r="D1253" s="181">
        <v>148464163.82252559</v>
      </c>
      <c r="E1253" s="26">
        <f>VLOOKUP(6286,季財報!$A:$H,8,0)</f>
        <v>0</v>
      </c>
      <c r="F1253" s="184">
        <v>6.3500000000000006E-3</v>
      </c>
      <c r="G1253" s="54">
        <v>28282423208.191124</v>
      </c>
      <c r="H1253" s="54">
        <v>12697231000</v>
      </c>
      <c r="I1253" s="66">
        <v>2.2274481111819675</v>
      </c>
      <c r="J1253" s="186">
        <v>17.890902671531126</v>
      </c>
    </row>
    <row r="1254" spans="1:10">
      <c r="A1254" s="65">
        <v>6287</v>
      </c>
      <c r="B1254" s="52">
        <v>-0.38</v>
      </c>
      <c r="C1254" s="184">
        <v>0.95364238410596025</v>
      </c>
      <c r="D1254" s="181">
        <v>181578947.36842105</v>
      </c>
      <c r="E1254" s="26">
        <f>VLOOKUP(6287,季財報!$A:$H,8,0)</f>
        <v>0</v>
      </c>
      <c r="F1254" s="184">
        <v>3.2025000000000005E-2</v>
      </c>
      <c r="G1254" s="54">
        <v>606473684.21052623</v>
      </c>
      <c r="H1254" s="54">
        <v>843965000</v>
      </c>
      <c r="I1254" s="66">
        <v>0.71860051567366678</v>
      </c>
      <c r="J1254" s="186">
        <v>0</v>
      </c>
    </row>
    <row r="1255" spans="1:10">
      <c r="A1255" s="65">
        <v>6289</v>
      </c>
      <c r="B1255" s="52">
        <v>-0.25</v>
      </c>
      <c r="C1255" s="184">
        <v>1</v>
      </c>
      <c r="D1255" s="181">
        <v>264000000</v>
      </c>
      <c r="E1255" s="26">
        <f>VLOOKUP(6289,季財報!$A:$H,8,0)</f>
        <v>0</v>
      </c>
      <c r="F1255" s="184">
        <v>1.8733333333333338E-2</v>
      </c>
      <c r="G1255" s="54">
        <v>285120000</v>
      </c>
      <c r="H1255" s="54">
        <v>120163000</v>
      </c>
      <c r="I1255" s="66">
        <v>2.3727769779383006</v>
      </c>
      <c r="J1255" s="186">
        <v>0</v>
      </c>
    </row>
    <row r="1256" spans="1:10">
      <c r="A1256" s="65">
        <v>6290</v>
      </c>
      <c r="B1256" s="52">
        <v>0.78</v>
      </c>
      <c r="C1256" s="184">
        <v>0.18390804597701149</v>
      </c>
      <c r="D1256" s="181">
        <v>134615384.61538461</v>
      </c>
      <c r="E1256" s="26">
        <f>VLOOKUP(6290,季財報!$A:$H,8,0)</f>
        <v>0</v>
      </c>
      <c r="F1256" s="184">
        <v>2.4649999999999995E-2</v>
      </c>
      <c r="G1256" s="54">
        <v>3298076923.0769229</v>
      </c>
      <c r="H1256" s="54">
        <v>7203405000</v>
      </c>
      <c r="I1256" s="66">
        <v>0.45784971455539747</v>
      </c>
      <c r="J1256" s="186">
        <v>42.698317307692307</v>
      </c>
    </row>
    <row r="1257" spans="1:10">
      <c r="A1257" s="65">
        <v>6291</v>
      </c>
      <c r="B1257" s="52">
        <v>-0.45</v>
      </c>
      <c r="C1257" s="184">
        <v>1</v>
      </c>
      <c r="D1257" s="181">
        <v>26666666.666666664</v>
      </c>
      <c r="E1257" s="26">
        <f>VLOOKUP(6291,季財報!$A:$H,8,0)</f>
        <v>0</v>
      </c>
      <c r="F1257" s="184">
        <v>1.1999999999999986E-3</v>
      </c>
      <c r="G1257" s="54">
        <v>78666666.666666657</v>
      </c>
      <c r="H1257" s="54">
        <v>243611000</v>
      </c>
      <c r="I1257" s="66">
        <v>0.32291918947283438</v>
      </c>
      <c r="J1257" s="186">
        <v>0</v>
      </c>
    </row>
    <row r="1258" spans="1:10">
      <c r="A1258" s="65">
        <v>6292</v>
      </c>
      <c r="B1258" s="52">
        <v>0.44</v>
      </c>
      <c r="C1258" s="184">
        <v>1</v>
      </c>
      <c r="D1258" s="181">
        <v>47727272.727272727</v>
      </c>
      <c r="E1258" s="26">
        <f>VLOOKUP(6292,季財報!$A:$H,8,0)</f>
        <v>0</v>
      </c>
      <c r="F1258" s="184">
        <v>4.0641666666666666E-2</v>
      </c>
      <c r="G1258" s="54">
        <v>1355454545.4545453</v>
      </c>
      <c r="H1258" s="54">
        <v>1385483000</v>
      </c>
      <c r="I1258" s="66">
        <v>0.97832636376956283</v>
      </c>
      <c r="J1258" s="186">
        <v>16.136363636363637</v>
      </c>
    </row>
    <row r="1259" spans="1:10">
      <c r="A1259" s="65">
        <v>6294</v>
      </c>
      <c r="B1259" s="52">
        <v>1.06</v>
      </c>
      <c r="C1259" s="184">
        <v>1</v>
      </c>
      <c r="D1259" s="181">
        <v>16981132.075471696</v>
      </c>
      <c r="E1259" s="26">
        <f>VLOOKUP(6294,季財報!$A:$H,8,0)</f>
        <v>0</v>
      </c>
      <c r="F1259" s="184">
        <v>4.3408333333333327E-2</v>
      </c>
      <c r="G1259" s="54">
        <v>1502830188.679245</v>
      </c>
      <c r="H1259" s="54">
        <v>673883000</v>
      </c>
      <c r="I1259" s="66">
        <v>2.2301055059695005</v>
      </c>
      <c r="J1259" s="186">
        <v>20.872641509433961</v>
      </c>
    </row>
    <row r="1260" spans="1:10">
      <c r="A1260" s="65">
        <v>6298</v>
      </c>
      <c r="B1260" s="52">
        <v>0.66</v>
      </c>
      <c r="C1260" s="184">
        <v>0.61963190184049077</v>
      </c>
      <c r="D1260" s="181">
        <v>168181818.18181819</v>
      </c>
      <c r="E1260" s="26">
        <f>VLOOKUP(6298,季財報!$A:$H,8,0)</f>
        <v>0</v>
      </c>
      <c r="F1260" s="184">
        <v>2.4408333333333327E-2</v>
      </c>
      <c r="G1260" s="54">
        <v>2901136363.6363635</v>
      </c>
      <c r="H1260" s="54">
        <v>5564726000</v>
      </c>
      <c r="I1260" s="66">
        <v>0.52134397338455896</v>
      </c>
      <c r="J1260" s="186">
        <v>10.545117011701171</v>
      </c>
    </row>
    <row r="1261" spans="1:10">
      <c r="A1261" s="65">
        <v>6404</v>
      </c>
      <c r="B1261" s="52">
        <v>0.64</v>
      </c>
      <c r="C1261" s="184">
        <v>0.63461538461538458</v>
      </c>
      <c r="D1261" s="181">
        <v>37500000</v>
      </c>
      <c r="E1261" s="26">
        <f>VLOOKUP(6404,季財報!$A:$H,8,0)</f>
        <v>0</v>
      </c>
      <c r="F1261" s="184">
        <v>2.4308333333333338E-2</v>
      </c>
      <c r="G1261" s="54">
        <v>1766250000</v>
      </c>
      <c r="H1261" s="54">
        <v>862440000</v>
      </c>
      <c r="I1261" s="66">
        <v>2.0479685543342145</v>
      </c>
      <c r="J1261" s="186">
        <v>28.991477272727273</v>
      </c>
    </row>
    <row r="1262" spans="1:10">
      <c r="A1262" s="65">
        <v>6405</v>
      </c>
      <c r="B1262" s="52">
        <v>0.49</v>
      </c>
      <c r="C1262" s="184">
        <v>0.52500000000000002</v>
      </c>
      <c r="D1262" s="181">
        <v>65306122.448979594</v>
      </c>
      <c r="E1262" s="26">
        <f>VLOOKUP(6405,季財報!$A:$H,8,0)</f>
        <v>0</v>
      </c>
      <c r="F1262" s="184">
        <v>-1.1866666666666666E-2</v>
      </c>
      <c r="G1262" s="54">
        <v>1534693877.5510204</v>
      </c>
      <c r="H1262" s="54">
        <v>1335776000</v>
      </c>
      <c r="I1262" s="66">
        <v>1.1489155947936034</v>
      </c>
      <c r="J1262" s="186">
        <v>22.837706511175902</v>
      </c>
    </row>
    <row r="1263" spans="1:10">
      <c r="A1263" s="65">
        <v>6409</v>
      </c>
      <c r="B1263" s="52">
        <v>6.05</v>
      </c>
      <c r="C1263" s="184">
        <v>0.89808917197452232</v>
      </c>
      <c r="D1263" s="181">
        <v>74380165.2892562</v>
      </c>
      <c r="E1263" s="26">
        <f>VLOOKUP(6409,季財報!$A:$H,8,0)</f>
        <v>0</v>
      </c>
      <c r="F1263" s="184">
        <v>1.9033333333333336E-2</v>
      </c>
      <c r="G1263" s="54">
        <v>36148760330.578514</v>
      </c>
      <c r="H1263" s="54">
        <v>7922423000</v>
      </c>
      <c r="I1263" s="66">
        <v>4.5628414855630046</v>
      </c>
      <c r="J1263" s="186">
        <v>22.36152628802532</v>
      </c>
    </row>
    <row r="1264" spans="1:10">
      <c r="A1264" s="65">
        <v>6411</v>
      </c>
      <c r="B1264" s="52">
        <v>1.1100000000000001</v>
      </c>
      <c r="C1264" s="184">
        <v>0.69411764705882351</v>
      </c>
      <c r="D1264" s="181">
        <v>63063063.063063055</v>
      </c>
      <c r="E1264" s="26">
        <f>VLOOKUP(6411,季財報!$A:$H,8,0)</f>
        <v>0</v>
      </c>
      <c r="F1264" s="184">
        <v>2.4141666666666662E-2</v>
      </c>
      <c r="G1264" s="54">
        <v>2002252252.2522521</v>
      </c>
      <c r="H1264" s="54">
        <v>1897566000</v>
      </c>
      <c r="I1264" s="66">
        <v>1.0551687015114373</v>
      </c>
      <c r="J1264" s="186">
        <v>10.302145365704687</v>
      </c>
    </row>
    <row r="1265" spans="1:10">
      <c r="A1265" s="65">
        <v>6412</v>
      </c>
      <c r="B1265" s="52">
        <v>0.81</v>
      </c>
      <c r="C1265" s="184">
        <v>0.76297577854671284</v>
      </c>
      <c r="D1265" s="181">
        <v>360493827.16049379</v>
      </c>
      <c r="E1265" s="26">
        <f>VLOOKUP(6412,季財報!$A:$H,8,0)</f>
        <v>0</v>
      </c>
      <c r="F1265" s="184">
        <v>6.7333333333333386E-3</v>
      </c>
      <c r="G1265" s="54">
        <v>11679999999.999998</v>
      </c>
      <c r="H1265" s="54">
        <v>26469887000</v>
      </c>
      <c r="I1265" s="66">
        <v>0.44125613380971357</v>
      </c>
      <c r="J1265" s="186">
        <v>13.10657596371882</v>
      </c>
    </row>
    <row r="1266" spans="1:10">
      <c r="A1266" s="65">
        <v>6414</v>
      </c>
      <c r="B1266" s="52">
        <v>3.59</v>
      </c>
      <c r="C1266" s="184">
        <v>0.76222222222222225</v>
      </c>
      <c r="D1266" s="181">
        <v>68802228.412256271</v>
      </c>
      <c r="E1266" s="26">
        <f>VLOOKUP(6414,季財報!$A:$H,8,0)</f>
        <v>0</v>
      </c>
      <c r="F1266" s="184">
        <v>8.0141666666666667E-2</v>
      </c>
      <c r="G1266" s="54">
        <v>23839972144.846798</v>
      </c>
      <c r="H1266" s="54">
        <v>10365079000</v>
      </c>
      <c r="I1266" s="66">
        <v>2.300028021479315</v>
      </c>
      <c r="J1266" s="186">
        <v>31.656813143084531</v>
      </c>
    </row>
    <row r="1267" spans="1:10">
      <c r="A1267" s="65">
        <v>6415</v>
      </c>
      <c r="B1267" s="52">
        <v>3.68</v>
      </c>
      <c r="C1267" s="184">
        <v>0.90677966101694918</v>
      </c>
      <c r="D1267" s="181">
        <v>76902173.913043469</v>
      </c>
      <c r="E1267" s="26">
        <f>VLOOKUP(6415,季財報!$A:$H,8,0)</f>
        <v>0</v>
      </c>
      <c r="F1267" s="184">
        <v>4.5066666666666672E-2</v>
      </c>
      <c r="G1267" s="54">
        <v>29491983695.652172</v>
      </c>
      <c r="H1267" s="54">
        <v>4418332000</v>
      </c>
      <c r="I1267" s="66">
        <v>6.6749134505175647</v>
      </c>
      <c r="J1267" s="186">
        <v>28.731333807395366</v>
      </c>
    </row>
    <row r="1268" spans="1:10">
      <c r="A1268" s="65">
        <v>6417</v>
      </c>
      <c r="B1268" s="52">
        <v>1.04</v>
      </c>
      <c r="C1268" s="184">
        <v>0.78846153846153844</v>
      </c>
      <c r="D1268" s="181">
        <v>31730769.230769228</v>
      </c>
      <c r="E1268" s="26">
        <f>VLOOKUP(6417,季財報!$A:$H,8,0)</f>
        <v>0</v>
      </c>
      <c r="F1268" s="184">
        <v>2.7716666666666671E-2</v>
      </c>
      <c r="G1268" s="54">
        <v>1643653846.153846</v>
      </c>
      <c r="H1268" s="54">
        <v>945301000</v>
      </c>
      <c r="I1268" s="66">
        <v>1.7387624112889397</v>
      </c>
      <c r="J1268" s="186">
        <v>15.792682926829269</v>
      </c>
    </row>
    <row r="1269" spans="1:10">
      <c r="A1269" s="65">
        <v>6419</v>
      </c>
      <c r="B1269" s="52">
        <v>0.35</v>
      </c>
      <c r="C1269" s="184">
        <v>0.44444444444444442</v>
      </c>
      <c r="D1269" s="181">
        <v>22857142.857142858</v>
      </c>
      <c r="E1269" s="26">
        <f>VLOOKUP(6419,季財報!$A:$H,8,0)</f>
        <v>0</v>
      </c>
      <c r="F1269" s="184">
        <v>5.5083333333333338E-3</v>
      </c>
      <c r="G1269" s="54">
        <v>587428571.42857146</v>
      </c>
      <c r="H1269" s="54">
        <v>438527000</v>
      </c>
      <c r="I1269" s="66">
        <v>1.3395493810610783</v>
      </c>
      <c r="J1269" s="186">
        <v>41.303571428571431</v>
      </c>
    </row>
    <row r="1270" spans="1:10">
      <c r="A1270" s="65">
        <v>6422</v>
      </c>
      <c r="B1270" s="52">
        <v>1.58</v>
      </c>
      <c r="C1270" s="184">
        <v>0.9553571428571429</v>
      </c>
      <c r="D1270" s="181">
        <v>36708860.759493671</v>
      </c>
      <c r="E1270" s="26">
        <f>VLOOKUP(6422,季財報!$A:$H,8,0)</f>
        <v>0</v>
      </c>
      <c r="F1270" s="184">
        <v>4.8925000000000003E-2</v>
      </c>
      <c r="G1270" s="54">
        <v>2041012658.2278483</v>
      </c>
      <c r="H1270" s="54">
        <v>2067189000</v>
      </c>
      <c r="I1270" s="66">
        <v>0.98733722858812056</v>
      </c>
      <c r="J1270" s="186">
        <v>9.2085650065065643</v>
      </c>
    </row>
    <row r="1271" spans="1:10">
      <c r="A1271" s="65">
        <v>6426</v>
      </c>
      <c r="B1271" s="52">
        <v>1.1000000000000001</v>
      </c>
      <c r="C1271" s="184">
        <v>0.63265306122448983</v>
      </c>
      <c r="D1271" s="181">
        <v>31818181.818181816</v>
      </c>
      <c r="E1271" s="26">
        <f>VLOOKUP(6426,季財報!$A:$H,8,0)</f>
        <v>0</v>
      </c>
      <c r="F1271" s="184">
        <v>2.2441666666666662E-2</v>
      </c>
      <c r="G1271" s="54">
        <v>1118409090.9090908</v>
      </c>
      <c r="H1271" s="54">
        <v>505690000</v>
      </c>
      <c r="I1271" s="66">
        <v>2.2116496092647489</v>
      </c>
      <c r="J1271" s="186">
        <v>12.627199413489734</v>
      </c>
    </row>
    <row r="1272" spans="1:10">
      <c r="A1272" s="65">
        <v>6431</v>
      </c>
      <c r="B1272" s="52">
        <v>-0.24</v>
      </c>
      <c r="C1272" s="184">
        <v>1</v>
      </c>
      <c r="D1272" s="181">
        <v>45833333.333333336</v>
      </c>
      <c r="E1272" s="26">
        <f>VLOOKUP(6431,季財報!$A:$H,8,0)</f>
        <v>0</v>
      </c>
      <c r="F1272" s="184">
        <v>0.53384166666666666</v>
      </c>
      <c r="G1272" s="54">
        <v>536250000</v>
      </c>
      <c r="H1272" s="54">
        <v>406339000</v>
      </c>
      <c r="I1272" s="66">
        <v>1.319710881800664</v>
      </c>
      <c r="J1272" s="186">
        <v>0</v>
      </c>
    </row>
    <row r="1273" spans="1:10">
      <c r="A1273" s="65">
        <v>6432</v>
      </c>
      <c r="B1273" s="52">
        <v>1.58</v>
      </c>
      <c r="C1273" s="184">
        <v>0.65853658536585369</v>
      </c>
      <c r="D1273" s="181">
        <v>18987341.772151899</v>
      </c>
      <c r="E1273" s="26">
        <f>VLOOKUP(6432,季財報!$A:$H,8,0)</f>
        <v>0</v>
      </c>
      <c r="F1273" s="184">
        <v>2.450833333333333E-2</v>
      </c>
      <c r="G1273" s="54">
        <v>604746835.44303799</v>
      </c>
      <c r="H1273" s="54">
        <v>957567000</v>
      </c>
      <c r="I1273" s="66">
        <v>0.63154519260066189</v>
      </c>
      <c r="J1273" s="186">
        <v>7.6526605719643692</v>
      </c>
    </row>
    <row r="1274" spans="1:10">
      <c r="A1274" s="65">
        <v>6442</v>
      </c>
      <c r="B1274" s="52">
        <v>1.81</v>
      </c>
      <c r="C1274" s="184">
        <v>0.59235668789808915</v>
      </c>
      <c r="D1274" s="181">
        <v>65193370.165745854</v>
      </c>
      <c r="E1274" s="26">
        <f>VLOOKUP(6442,季財報!$A:$H,8,0)</f>
        <v>0</v>
      </c>
      <c r="F1274" s="184">
        <v>3.6341666666666668E-2</v>
      </c>
      <c r="G1274" s="54">
        <v>3722541436.4640884</v>
      </c>
      <c r="H1274" s="54">
        <v>4272676000</v>
      </c>
      <c r="I1274" s="66">
        <v>0.87124355707385448</v>
      </c>
      <c r="J1274" s="186">
        <v>13.314174538109665</v>
      </c>
    </row>
    <row r="1275" spans="1:10">
      <c r="A1275" s="65">
        <v>6443</v>
      </c>
      <c r="B1275" s="52">
        <v>0.2</v>
      </c>
      <c r="C1275" s="184">
        <v>0</v>
      </c>
      <c r="D1275" s="181">
        <v>325000000</v>
      </c>
      <c r="E1275" s="26">
        <f>VLOOKUP(6443,季財報!$A:$H,8,0)</f>
        <v>0</v>
      </c>
      <c r="F1275" s="184">
        <v>2.3391666666666668E-2</v>
      </c>
      <c r="G1275" s="54">
        <v>5622500000</v>
      </c>
      <c r="H1275" s="54">
        <v>6882788000</v>
      </c>
      <c r="I1275" s="66">
        <v>0.81689280564794386</v>
      </c>
      <c r="J1275" s="186">
        <v>0</v>
      </c>
    </row>
    <row r="1276" spans="1:10">
      <c r="A1276" s="65">
        <v>6449</v>
      </c>
      <c r="B1276" s="52">
        <v>0.93</v>
      </c>
      <c r="C1276" s="184">
        <v>0.66355140186915884</v>
      </c>
      <c r="D1276" s="181">
        <v>73118279.569892466</v>
      </c>
      <c r="E1276" s="26">
        <f>VLOOKUP(6449,季財報!$A:$H,8,0)</f>
        <v>0</v>
      </c>
      <c r="F1276" s="184">
        <v>1.5216666666666668E-2</v>
      </c>
      <c r="G1276" s="54">
        <v>1963225806.4516127</v>
      </c>
      <c r="H1276" s="54">
        <v>1427501000</v>
      </c>
      <c r="I1276" s="66">
        <v>1.3752885682403113</v>
      </c>
      <c r="J1276" s="186">
        <v>10.877442071785554</v>
      </c>
    </row>
    <row r="1277" spans="1:10">
      <c r="A1277" s="65">
        <v>6451</v>
      </c>
      <c r="B1277" s="52">
        <v>3.36</v>
      </c>
      <c r="C1277" s="184">
        <v>0.64814814814814814</v>
      </c>
      <c r="D1277" s="181">
        <v>105357142.85714287</v>
      </c>
      <c r="E1277" s="26">
        <f>VLOOKUP(6451,季財報!$A:$H,8,0)</f>
        <v>0</v>
      </c>
      <c r="F1277" s="184">
        <v>-9.1466666666666654E-2</v>
      </c>
      <c r="G1277" s="54">
        <v>13907142857.142859</v>
      </c>
      <c r="H1277" s="54">
        <v>5520871000</v>
      </c>
      <c r="I1277" s="66">
        <v>2.519012463276693</v>
      </c>
      <c r="J1277" s="186">
        <v>15.153061224489797</v>
      </c>
    </row>
    <row r="1278" spans="1:10">
      <c r="A1278" s="65">
        <v>6452</v>
      </c>
      <c r="B1278" s="52">
        <v>4.03</v>
      </c>
      <c r="C1278" s="184">
        <v>0.89419087136929465</v>
      </c>
      <c r="D1278" s="181">
        <v>63771712.158808932</v>
      </c>
      <c r="E1278" s="26">
        <f>VLOOKUP(6452,季財報!$A:$H,8,0)</f>
        <v>0</v>
      </c>
      <c r="F1278" s="184">
        <v>-6.2949999999999992E-2</v>
      </c>
      <c r="G1278" s="54">
        <v>25189826302.729527</v>
      </c>
      <c r="H1278" s="54">
        <v>3578258000</v>
      </c>
      <c r="I1278" s="66">
        <v>7.0396897883633676</v>
      </c>
      <c r="J1278" s="186">
        <v>27.403234442378217</v>
      </c>
    </row>
    <row r="1279" spans="1:10">
      <c r="A1279" s="65">
        <v>6456</v>
      </c>
      <c r="B1279" s="52">
        <v>3.11</v>
      </c>
      <c r="C1279" s="184">
        <v>1</v>
      </c>
      <c r="D1279" s="181">
        <v>307395498.39228296</v>
      </c>
      <c r="E1279" s="26">
        <f>VLOOKUP(6456,季財報!$A:$H,8,0)</f>
        <v>0</v>
      </c>
      <c r="F1279" s="184">
        <v>2.9558333333333336E-2</v>
      </c>
      <c r="G1279" s="54">
        <v>45033440514.469452</v>
      </c>
      <c r="H1279" s="54">
        <v>54800376000</v>
      </c>
      <c r="I1279" s="66">
        <v>0.82177247313904289</v>
      </c>
      <c r="J1279" s="186">
        <v>11.776527331189712</v>
      </c>
    </row>
    <row r="1280" spans="1:10">
      <c r="A1280" s="65">
        <v>6457</v>
      </c>
      <c r="B1280" s="52">
        <v>0.88</v>
      </c>
      <c r="C1280" s="184">
        <v>0.8571428571428571</v>
      </c>
      <c r="D1280" s="181">
        <v>27272727.272727273</v>
      </c>
      <c r="E1280" s="26">
        <f>VLOOKUP(6457,季財報!$A:$H,8,0)</f>
        <v>0</v>
      </c>
      <c r="F1280" s="184">
        <v>6.3850000000000004E-2</v>
      </c>
      <c r="G1280" s="54">
        <v>1127727272.7272727</v>
      </c>
      <c r="H1280" s="54">
        <v>542552000</v>
      </c>
      <c r="I1280" s="66">
        <v>2.0785607144149734</v>
      </c>
      <c r="J1280" s="186">
        <v>13.705018939393941</v>
      </c>
    </row>
    <row r="1281" spans="1:10">
      <c r="A1281" s="65">
        <v>6488</v>
      </c>
      <c r="B1281" s="52">
        <v>1.69</v>
      </c>
      <c r="C1281" s="184">
        <v>0.89059674502712483</v>
      </c>
      <c r="D1281" s="181">
        <v>351479289.94082844</v>
      </c>
      <c r="E1281" s="26">
        <f>VLOOKUP(6488,季財報!$A:$H,8,0)</f>
        <v>0</v>
      </c>
      <c r="F1281" s="184">
        <v>-7.7083333333333335E-3</v>
      </c>
      <c r="G1281" s="54">
        <v>27802011834.319527</v>
      </c>
      <c r="H1281" s="54">
        <v>15672012000</v>
      </c>
      <c r="I1281" s="66">
        <v>1.7739912293532909</v>
      </c>
      <c r="J1281" s="186">
        <v>13.138587691106236</v>
      </c>
    </row>
    <row r="1282" spans="1:10">
      <c r="A1282" s="65">
        <v>6504</v>
      </c>
      <c r="B1282" s="52">
        <v>1.82</v>
      </c>
      <c r="C1282" s="184">
        <v>1</v>
      </c>
      <c r="D1282" s="181">
        <v>72527472.527472526</v>
      </c>
      <c r="E1282" s="26">
        <f>VLOOKUP(6504,季財報!$A:$H,8,0)</f>
        <v>0</v>
      </c>
      <c r="F1282" s="184">
        <v>1.4499999999999999E-2</v>
      </c>
      <c r="G1282" s="54">
        <v>13743956043.956043</v>
      </c>
      <c r="H1282" s="54">
        <v>5925758000</v>
      </c>
      <c r="I1282" s="66">
        <v>2.3193583072336135</v>
      </c>
      <c r="J1282" s="186">
        <v>26.030219780219781</v>
      </c>
    </row>
    <row r="1283" spans="1:10">
      <c r="A1283" s="65">
        <v>6505</v>
      </c>
      <c r="B1283" s="52">
        <v>0.94</v>
      </c>
      <c r="C1283" s="184">
        <v>0.81462443546470165</v>
      </c>
      <c r="D1283" s="181">
        <v>9537234042.5531921</v>
      </c>
      <c r="E1283" s="26">
        <f>VLOOKUP(6505,季財報!$A:$H,8,0)</f>
        <v>0</v>
      </c>
      <c r="F1283" s="184">
        <v>-2.1666666666666664E-2</v>
      </c>
      <c r="G1283" s="54">
        <v>740089361702.12769</v>
      </c>
      <c r="H1283" s="54">
        <v>649848280000</v>
      </c>
      <c r="I1283" s="66">
        <v>1.1388648465794626</v>
      </c>
      <c r="J1283" s="186">
        <v>25.334739511671202</v>
      </c>
    </row>
    <row r="1284" spans="1:10">
      <c r="A1284" s="65">
        <v>6506</v>
      </c>
      <c r="B1284" s="52">
        <v>0.11</v>
      </c>
      <c r="C1284" s="184">
        <v>1</v>
      </c>
      <c r="D1284" s="181">
        <v>63636363.636363633</v>
      </c>
      <c r="E1284" s="26">
        <f>VLOOKUP(6506,季財報!$A:$H,8,0)</f>
        <v>0</v>
      </c>
      <c r="F1284" s="184">
        <v>3.0541666666666661E-2</v>
      </c>
      <c r="G1284" s="54">
        <v>1196363636.3636363</v>
      </c>
      <c r="H1284" s="54">
        <v>1926247000</v>
      </c>
      <c r="I1284" s="66">
        <v>0.62108526910808237</v>
      </c>
      <c r="J1284" s="186">
        <v>42.727272727272727</v>
      </c>
    </row>
    <row r="1285" spans="1:10">
      <c r="A1285" s="65">
        <v>6508</v>
      </c>
      <c r="B1285" s="52">
        <v>0.56000000000000005</v>
      </c>
      <c r="C1285" s="184">
        <v>0.80952380952380953</v>
      </c>
      <c r="D1285" s="181">
        <v>80357142.857142851</v>
      </c>
      <c r="E1285" s="26">
        <f>VLOOKUP(6508,季財報!$A:$H,8,0)</f>
        <v>0</v>
      </c>
      <c r="F1285" s="184">
        <v>1.0866666666666672E-2</v>
      </c>
      <c r="G1285" s="54">
        <v>2294196428.5714283</v>
      </c>
      <c r="H1285" s="54">
        <v>2441190000</v>
      </c>
      <c r="I1285" s="66">
        <v>0.93978609963641846</v>
      </c>
      <c r="J1285" s="186">
        <v>15.744485294117647</v>
      </c>
    </row>
    <row r="1286" spans="1:10">
      <c r="A1286" s="65">
        <v>6509</v>
      </c>
      <c r="B1286" s="52">
        <v>0.28999999999999998</v>
      </c>
      <c r="C1286" s="184">
        <v>1</v>
      </c>
      <c r="D1286" s="181">
        <v>168965517.24137932</v>
      </c>
      <c r="E1286" s="26">
        <f>VLOOKUP(6509,季財報!$A:$H,8,0)</f>
        <v>0</v>
      </c>
      <c r="F1286" s="184">
        <v>6.7750000000000024E-3</v>
      </c>
      <c r="G1286" s="54">
        <v>3607413793.1034489</v>
      </c>
      <c r="H1286" s="54">
        <v>3128341000</v>
      </c>
      <c r="I1286" s="66">
        <v>1.1531395692168624</v>
      </c>
      <c r="J1286" s="186">
        <v>18.405172413793107</v>
      </c>
    </row>
    <row r="1287" spans="1:10">
      <c r="A1287" s="65">
        <v>6603</v>
      </c>
      <c r="B1287" s="52">
        <v>0.06</v>
      </c>
      <c r="C1287" s="184">
        <v>0</v>
      </c>
      <c r="D1287" s="181">
        <v>133333333.33333334</v>
      </c>
      <c r="E1287" s="26">
        <f>VLOOKUP(6603,季財報!$A:$H,8,0)</f>
        <v>0</v>
      </c>
      <c r="F1287" s="184">
        <v>5.8416666666666573E-3</v>
      </c>
      <c r="G1287" s="54">
        <v>1446666666.6666667</v>
      </c>
      <c r="H1287" s="54">
        <v>2833441000</v>
      </c>
      <c r="I1287" s="66">
        <v>0.51056883367843786</v>
      </c>
      <c r="J1287" s="186">
        <v>0</v>
      </c>
    </row>
    <row r="1288" spans="1:10">
      <c r="A1288" s="65">
        <v>6605</v>
      </c>
      <c r="B1288" s="52">
        <v>3.82</v>
      </c>
      <c r="C1288" s="184">
        <v>0.7334070796460177</v>
      </c>
      <c r="D1288" s="181">
        <v>165706806.28272253</v>
      </c>
      <c r="E1288" s="26">
        <f>VLOOKUP(6605,季財報!$A:$H,8,0)</f>
        <v>0</v>
      </c>
      <c r="F1288" s="184">
        <v>1.4900000000000002E-2</v>
      </c>
      <c r="G1288" s="54">
        <v>19636256544.502621</v>
      </c>
      <c r="H1288" s="54">
        <v>14670613000</v>
      </c>
      <c r="I1288" s="66">
        <v>1.3384755323109281</v>
      </c>
      <c r="J1288" s="186">
        <v>10.574257894861528</v>
      </c>
    </row>
    <row r="1289" spans="1:10">
      <c r="A1289" s="65">
        <v>6609</v>
      </c>
      <c r="B1289" s="52">
        <v>1.27</v>
      </c>
      <c r="C1289" s="184">
        <v>1</v>
      </c>
      <c r="D1289" s="181">
        <v>70866141.732283458</v>
      </c>
      <c r="E1289" s="26">
        <f>VLOOKUP(6609,季財報!$A:$H,8,0)</f>
        <v>0</v>
      </c>
      <c r="F1289" s="184">
        <v>4.1375000000000009E-2</v>
      </c>
      <c r="G1289" s="54">
        <v>2097637795.2755904</v>
      </c>
      <c r="H1289" s="54">
        <v>2784931000</v>
      </c>
      <c r="I1289" s="66">
        <v>0.7532099701125774</v>
      </c>
      <c r="J1289" s="186">
        <v>5.8267716535433074</v>
      </c>
    </row>
    <row r="1290" spans="1:10">
      <c r="A1290" s="65">
        <v>6702</v>
      </c>
      <c r="B1290" s="52">
        <v>-0.32</v>
      </c>
      <c r="C1290" s="184">
        <v>1</v>
      </c>
      <c r="D1290" s="181">
        <v>640625000</v>
      </c>
      <c r="E1290" s="26">
        <f>VLOOKUP(6702,季財報!$A:$H,8,0)</f>
        <v>0</v>
      </c>
      <c r="F1290" s="184">
        <v>1.0249999999999936E-3</v>
      </c>
      <c r="G1290" s="54">
        <v>4657343750</v>
      </c>
      <c r="H1290" s="54">
        <v>10837365000</v>
      </c>
      <c r="I1290" s="66">
        <v>0.42974872120667706</v>
      </c>
      <c r="J1290" s="186">
        <v>0</v>
      </c>
    </row>
    <row r="1291" spans="1:10">
      <c r="A1291" s="65">
        <v>6803</v>
      </c>
      <c r="B1291" s="52">
        <v>3.2</v>
      </c>
      <c r="C1291" s="184">
        <v>0.84745762711864403</v>
      </c>
      <c r="D1291" s="181">
        <v>65625000</v>
      </c>
      <c r="E1291" s="26">
        <f>VLOOKUP(6803,季財報!$A:$H,8,0)</f>
        <v>0</v>
      </c>
      <c r="F1291" s="184">
        <v>4.8416666666666669E-3</v>
      </c>
      <c r="G1291" s="54">
        <v>10828125000</v>
      </c>
      <c r="H1291" s="54">
        <v>4053851000</v>
      </c>
      <c r="I1291" s="66">
        <v>2.6710712850570975</v>
      </c>
      <c r="J1291" s="186">
        <v>15.2109375</v>
      </c>
    </row>
    <row r="1292" spans="1:10">
      <c r="A1292" s="65">
        <v>8011</v>
      </c>
      <c r="B1292" s="52">
        <v>-0.59</v>
      </c>
      <c r="C1292" s="184">
        <v>1</v>
      </c>
      <c r="D1292" s="181">
        <v>101694915.25423729</v>
      </c>
      <c r="E1292" s="26">
        <f>VLOOKUP(8011,季財報!$A:$H,8,0)</f>
        <v>0</v>
      </c>
      <c r="F1292" s="184">
        <v>2.1883333333333328E-2</v>
      </c>
      <c r="G1292" s="54">
        <v>2206779661.0169492</v>
      </c>
      <c r="H1292" s="54">
        <v>1532970000</v>
      </c>
      <c r="I1292" s="66">
        <v>1.4395452363822836</v>
      </c>
      <c r="J1292" s="186">
        <v>0</v>
      </c>
    </row>
    <row r="1293" spans="1:10">
      <c r="A1293" s="65">
        <v>8016</v>
      </c>
      <c r="B1293" s="52">
        <v>1.97</v>
      </c>
      <c r="C1293" s="184">
        <v>0.85166240409207161</v>
      </c>
      <c r="D1293" s="181">
        <v>118274111.67512691</v>
      </c>
      <c r="E1293" s="26">
        <f>VLOOKUP(8016,季財報!$A:$H,8,0)</f>
        <v>0</v>
      </c>
      <c r="F1293" s="184">
        <v>2.7524999999999994E-2</v>
      </c>
      <c r="G1293" s="54">
        <v>10029644670.050762</v>
      </c>
      <c r="H1293" s="54">
        <v>8948658000</v>
      </c>
      <c r="I1293" s="66">
        <v>1.1207987465886797</v>
      </c>
      <c r="J1293" s="186">
        <v>12.63578299111294</v>
      </c>
    </row>
    <row r="1294" spans="1:10">
      <c r="A1294" s="65">
        <v>8021</v>
      </c>
      <c r="B1294" s="52">
        <v>0.68</v>
      </c>
      <c r="C1294" s="184">
        <v>1</v>
      </c>
      <c r="D1294" s="181">
        <v>160294117.64705881</v>
      </c>
      <c r="E1294" s="26">
        <f>VLOOKUP(8021,季財報!$A:$H,8,0)</f>
        <v>0</v>
      </c>
      <c r="F1294" s="184">
        <v>4.7166666666666676E-3</v>
      </c>
      <c r="G1294" s="54">
        <v>4015367647.0588236</v>
      </c>
      <c r="H1294" s="54">
        <v>3489186000</v>
      </c>
      <c r="I1294" s="66">
        <v>1.1508035533384644</v>
      </c>
      <c r="J1294" s="186">
        <v>9.2095588235294112</v>
      </c>
    </row>
    <row r="1295" spans="1:10">
      <c r="A1295" s="65">
        <v>8024</v>
      </c>
      <c r="B1295" s="52">
        <v>0.01</v>
      </c>
      <c r="C1295" s="184">
        <v>0</v>
      </c>
      <c r="D1295" s="181">
        <v>100000000</v>
      </c>
      <c r="E1295" s="26">
        <f>VLOOKUP(8024,季財報!$A:$H,8,0)</f>
        <v>0</v>
      </c>
      <c r="F1295" s="184">
        <v>1.5741666666666664E-2</v>
      </c>
      <c r="G1295" s="54">
        <v>1095000000</v>
      </c>
      <c r="H1295" s="54">
        <v>618655000</v>
      </c>
      <c r="I1295" s="66">
        <v>1.7699687224705207</v>
      </c>
      <c r="J1295" s="186">
        <v>0</v>
      </c>
    </row>
    <row r="1296" spans="1:10">
      <c r="A1296" s="65">
        <v>8027</v>
      </c>
      <c r="B1296" s="52">
        <v>0.18</v>
      </c>
      <c r="C1296" s="184">
        <v>0</v>
      </c>
      <c r="D1296" s="181">
        <v>55555555.55555556</v>
      </c>
      <c r="E1296" s="26">
        <f>VLOOKUP(8027,季財報!$A:$H,8,0)</f>
        <v>0</v>
      </c>
      <c r="F1296" s="184">
        <v>-1.9949999999999999E-2</v>
      </c>
      <c r="G1296" s="54">
        <v>1230555555.5555556</v>
      </c>
      <c r="H1296" s="54">
        <v>1651019000</v>
      </c>
      <c r="I1296" s="66">
        <v>0.74533094746671935</v>
      </c>
      <c r="J1296" s="186">
        <v>0</v>
      </c>
    </row>
    <row r="1297" spans="1:10">
      <c r="A1297" s="65">
        <v>8032</v>
      </c>
      <c r="B1297" s="52">
        <v>1.1499999999999999</v>
      </c>
      <c r="C1297" s="184">
        <v>0.57954545454545459</v>
      </c>
      <c r="D1297" s="181">
        <v>52173913.043478265</v>
      </c>
      <c r="E1297" s="26">
        <f>VLOOKUP(8032,季財報!$A:$H,8,0)</f>
        <v>0</v>
      </c>
      <c r="F1297" s="184">
        <v>4.2791666666666665E-2</v>
      </c>
      <c r="G1297" s="54">
        <v>1481739130.4347827</v>
      </c>
      <c r="H1297" s="54">
        <v>4201353000</v>
      </c>
      <c r="I1297" s="66">
        <v>0.35268141725648444</v>
      </c>
      <c r="J1297" s="186">
        <v>10.653026427962489</v>
      </c>
    </row>
    <row r="1298" spans="1:10">
      <c r="A1298" s="65">
        <v>8033</v>
      </c>
      <c r="B1298" s="52">
        <v>-0.27</v>
      </c>
      <c r="C1298" s="184">
        <v>1</v>
      </c>
      <c r="D1298" s="181">
        <v>129629629.62962963</v>
      </c>
      <c r="E1298" s="26">
        <f>VLOOKUP(8033,季財報!$A:$H,8,0)</f>
        <v>0</v>
      </c>
      <c r="F1298" s="184">
        <v>-9.9499999999999988E-3</v>
      </c>
      <c r="G1298" s="54">
        <v>1361111111.1111112</v>
      </c>
      <c r="H1298" s="54">
        <v>918367000</v>
      </c>
      <c r="I1298" s="66">
        <v>1.4820993253362884</v>
      </c>
      <c r="J1298" s="186">
        <v>0</v>
      </c>
    </row>
    <row r="1299" spans="1:10">
      <c r="A1299" s="65">
        <v>8034</v>
      </c>
      <c r="B1299" s="52">
        <v>-0.01</v>
      </c>
      <c r="C1299" s="184">
        <v>0</v>
      </c>
      <c r="D1299" s="181">
        <v>0</v>
      </c>
      <c r="E1299" s="26">
        <f>VLOOKUP(8034,季財報!$A:$H,8,0)</f>
        <v>0</v>
      </c>
      <c r="F1299" s="184">
        <v>2.7358333333333328E-2</v>
      </c>
      <c r="G1299" s="54">
        <v>0</v>
      </c>
      <c r="H1299" s="54">
        <v>212557000</v>
      </c>
      <c r="I1299" s="66">
        <v>0</v>
      </c>
      <c r="J1299" s="186">
        <v>0</v>
      </c>
    </row>
    <row r="1300" spans="1:10">
      <c r="A1300" s="65">
        <v>8038</v>
      </c>
      <c r="B1300" s="52">
        <v>-0.02</v>
      </c>
      <c r="C1300" s="184">
        <v>1</v>
      </c>
      <c r="D1300" s="181">
        <v>50000000</v>
      </c>
      <c r="E1300" s="26">
        <f>VLOOKUP(8038,季財報!$A:$H,8,0)</f>
        <v>0</v>
      </c>
      <c r="F1300" s="184">
        <v>0.19062500000000004</v>
      </c>
      <c r="G1300" s="54">
        <v>2000000000</v>
      </c>
      <c r="H1300" s="54">
        <v>62451000</v>
      </c>
      <c r="I1300" s="66">
        <v>10</v>
      </c>
      <c r="J1300" s="186">
        <v>0</v>
      </c>
    </row>
    <row r="1301" spans="1:10">
      <c r="A1301" s="65">
        <v>8039</v>
      </c>
      <c r="B1301" s="52">
        <v>1.49</v>
      </c>
      <c r="C1301" s="184">
        <v>0.95905172413793105</v>
      </c>
      <c r="D1301" s="181">
        <v>202013422.81879196</v>
      </c>
      <c r="E1301" s="26">
        <f>VLOOKUP(8039,季財報!$A:$H,8,0)</f>
        <v>0</v>
      </c>
      <c r="F1301" s="184">
        <v>1.8333333333333337E-2</v>
      </c>
      <c r="G1301" s="54">
        <v>7747214765.1006718</v>
      </c>
      <c r="H1301" s="54">
        <v>9946955000</v>
      </c>
      <c r="I1301" s="66">
        <v>0.7788529017272795</v>
      </c>
      <c r="J1301" s="186">
        <v>6.7092979413317249</v>
      </c>
    </row>
    <row r="1302" spans="1:10">
      <c r="A1302" s="65">
        <v>8040</v>
      </c>
      <c r="B1302" s="52">
        <v>-0.26</v>
      </c>
      <c r="C1302" s="184">
        <v>1</v>
      </c>
      <c r="D1302" s="181">
        <v>80769230.769230768</v>
      </c>
      <c r="E1302" s="26">
        <f>VLOOKUP(8040,季財報!$A:$H,8,0)</f>
        <v>0</v>
      </c>
      <c r="F1302" s="184">
        <v>4.2883333333333336E-2</v>
      </c>
      <c r="G1302" s="54">
        <v>621115384.61538458</v>
      </c>
      <c r="H1302" s="54">
        <v>699769000</v>
      </c>
      <c r="I1302" s="66">
        <v>0.88760060050585921</v>
      </c>
      <c r="J1302" s="186">
        <v>0</v>
      </c>
    </row>
    <row r="1303" spans="1:10">
      <c r="A1303" s="65">
        <v>8042</v>
      </c>
      <c r="B1303" s="52">
        <v>0.77</v>
      </c>
      <c r="C1303" s="184">
        <v>0.98726114649681529</v>
      </c>
      <c r="D1303" s="181">
        <v>103896103.89610389</v>
      </c>
      <c r="E1303" s="26">
        <f>VLOOKUP(8042,季財報!$A:$H,8,0)</f>
        <v>0</v>
      </c>
      <c r="F1303" s="184">
        <v>2.4291666666666666E-2</v>
      </c>
      <c r="G1303" s="54">
        <v>3693506493.5064931</v>
      </c>
      <c r="H1303" s="54">
        <v>3085751000</v>
      </c>
      <c r="I1303" s="66">
        <v>1.1969554554163615</v>
      </c>
      <c r="J1303" s="186">
        <v>11.691139505655634</v>
      </c>
    </row>
    <row r="1304" spans="1:10">
      <c r="A1304" s="65">
        <v>8043</v>
      </c>
      <c r="B1304" s="52">
        <v>1.06</v>
      </c>
      <c r="C1304" s="184">
        <v>0.2808988764044944</v>
      </c>
      <c r="D1304" s="181">
        <v>79245283.018867925</v>
      </c>
      <c r="E1304" s="26">
        <f>VLOOKUP(8043,季財報!$A:$H,8,0)</f>
        <v>0</v>
      </c>
      <c r="F1304" s="184">
        <v>3.3633333333333341E-2</v>
      </c>
      <c r="G1304" s="54">
        <v>1184716981.1320753</v>
      </c>
      <c r="H1304" s="54">
        <v>5203777000</v>
      </c>
      <c r="I1304" s="66">
        <v>0.22766482520908857</v>
      </c>
      <c r="J1304" s="186">
        <v>12.552358490566034</v>
      </c>
    </row>
    <row r="1305" spans="1:10">
      <c r="A1305" s="65">
        <v>8044</v>
      </c>
      <c r="B1305" s="52">
        <v>2</v>
      </c>
      <c r="C1305" s="184">
        <v>0.94476744186046513</v>
      </c>
      <c r="D1305" s="181">
        <v>93000000</v>
      </c>
      <c r="E1305" s="26">
        <f>VLOOKUP(8044,季財報!$A:$H,8,0)</f>
        <v>0</v>
      </c>
      <c r="F1305" s="184">
        <v>1.1250000000000001E-2</v>
      </c>
      <c r="G1305" s="54">
        <v>29016000000</v>
      </c>
      <c r="H1305" s="54">
        <v>22385020000</v>
      </c>
      <c r="I1305" s="66">
        <v>1.296223992652229</v>
      </c>
      <c r="J1305" s="186">
        <v>41.28</v>
      </c>
    </row>
    <row r="1306" spans="1:10">
      <c r="A1306" s="65">
        <v>8046</v>
      </c>
      <c r="B1306" s="52">
        <v>0.67</v>
      </c>
      <c r="C1306" s="184">
        <v>0</v>
      </c>
      <c r="D1306" s="181">
        <v>646268656.71641791</v>
      </c>
      <c r="E1306" s="26">
        <f>VLOOKUP(8046,季財報!$A:$H,8,0)</f>
        <v>0</v>
      </c>
      <c r="F1306" s="184">
        <v>-1.2841666666666668E-2</v>
      </c>
      <c r="G1306" s="54">
        <v>22263955223.8806</v>
      </c>
      <c r="H1306" s="54">
        <v>30433432000</v>
      </c>
      <c r="I1306" s="66">
        <v>0.73156242200618715</v>
      </c>
      <c r="J1306" s="186">
        <v>0</v>
      </c>
    </row>
    <row r="1307" spans="1:10">
      <c r="A1307" s="65">
        <v>8047</v>
      </c>
      <c r="B1307" s="52">
        <v>0.06</v>
      </c>
      <c r="C1307" s="184">
        <v>1</v>
      </c>
      <c r="D1307" s="181">
        <v>50000000</v>
      </c>
      <c r="E1307" s="26">
        <f>VLOOKUP(8047,季財報!$A:$H,8,0)</f>
        <v>0</v>
      </c>
      <c r="F1307" s="184">
        <v>1.1799999999999996E-2</v>
      </c>
      <c r="G1307" s="54">
        <v>575000000</v>
      </c>
      <c r="H1307" s="54">
        <v>820484000</v>
      </c>
      <c r="I1307" s="66">
        <v>0.70080586580603643</v>
      </c>
      <c r="J1307" s="186">
        <v>47.916666666666671</v>
      </c>
    </row>
    <row r="1308" spans="1:10">
      <c r="A1308" s="65">
        <v>8048</v>
      </c>
      <c r="B1308" s="52">
        <v>1.49</v>
      </c>
      <c r="C1308" s="184">
        <v>0.80314960629921262</v>
      </c>
      <c r="D1308" s="181">
        <v>51677852.348993286</v>
      </c>
      <c r="E1308" s="26">
        <f>VLOOKUP(8048,季財報!$A:$H,8,0)</f>
        <v>0</v>
      </c>
      <c r="F1308" s="184">
        <v>2.2683333333333344E-2</v>
      </c>
      <c r="G1308" s="54">
        <v>2477953020.1342282</v>
      </c>
      <c r="H1308" s="54">
        <v>1547483000</v>
      </c>
      <c r="I1308" s="66">
        <v>1.6012796393461048</v>
      </c>
      <c r="J1308" s="186">
        <v>10.017189761810764</v>
      </c>
    </row>
    <row r="1309" spans="1:10">
      <c r="A1309" s="65">
        <v>8049</v>
      </c>
      <c r="B1309" s="52">
        <v>0.4</v>
      </c>
      <c r="C1309" s="184">
        <v>0.93975903614457834</v>
      </c>
      <c r="D1309" s="181">
        <v>127500000</v>
      </c>
      <c r="E1309" s="26">
        <f>VLOOKUP(8049,季財報!$A:$H,8,0)</f>
        <v>0</v>
      </c>
      <c r="F1309" s="184">
        <v>3.0424999999999997E-2</v>
      </c>
      <c r="G1309" s="54">
        <v>1220175000</v>
      </c>
      <c r="H1309" s="54">
        <v>1457106000</v>
      </c>
      <c r="I1309" s="66">
        <v>0.83739618119752446</v>
      </c>
      <c r="J1309" s="186">
        <v>6.364663461538461</v>
      </c>
    </row>
    <row r="1310" spans="1:10">
      <c r="A1310" s="65">
        <v>8050</v>
      </c>
      <c r="B1310" s="52">
        <v>1.4</v>
      </c>
      <c r="C1310" s="184">
        <v>0.8046511627906977</v>
      </c>
      <c r="D1310" s="181">
        <v>110000000</v>
      </c>
      <c r="E1310" s="26">
        <f>VLOOKUP(8050,季財報!$A:$H,8,0)</f>
        <v>0</v>
      </c>
      <c r="F1310" s="184">
        <v>1.085E-2</v>
      </c>
      <c r="G1310" s="54">
        <v>6028000000</v>
      </c>
      <c r="H1310" s="54">
        <v>4215388000</v>
      </c>
      <c r="I1310" s="66">
        <v>1.4299988518257394</v>
      </c>
      <c r="J1310" s="186">
        <v>12.161436829066886</v>
      </c>
    </row>
    <row r="1311" spans="1:10">
      <c r="A1311" s="65">
        <v>8053</v>
      </c>
      <c r="B1311" s="52">
        <v>-0.62</v>
      </c>
      <c r="C1311" s="184">
        <v>0.83483483483483478</v>
      </c>
      <c r="D1311" s="181">
        <v>409677419.35483873</v>
      </c>
      <c r="E1311" s="26">
        <f>VLOOKUP(8053,季財報!$A:$H,8,0)</f>
        <v>0</v>
      </c>
      <c r="F1311" s="184">
        <v>-1.6325000000000003E-2</v>
      </c>
      <c r="G1311" s="54">
        <v>696451612.90322578</v>
      </c>
      <c r="H1311" s="54">
        <v>3665930000</v>
      </c>
      <c r="I1311" s="66">
        <v>0.18997951758577653</v>
      </c>
      <c r="J1311" s="186">
        <v>0</v>
      </c>
    </row>
    <row r="1312" spans="1:10">
      <c r="A1312" s="65">
        <v>8054</v>
      </c>
      <c r="B1312" s="52">
        <v>0.17</v>
      </c>
      <c r="C1312" s="184">
        <v>0</v>
      </c>
      <c r="D1312" s="181">
        <v>76470588.235294119</v>
      </c>
      <c r="E1312" s="26">
        <f>VLOOKUP(8054,季財報!$A:$H,8,0)</f>
        <v>0</v>
      </c>
      <c r="F1312" s="184">
        <v>-9.9500000000000005E-3</v>
      </c>
      <c r="G1312" s="54">
        <v>1560000000</v>
      </c>
      <c r="H1312" s="54">
        <v>2365218000</v>
      </c>
      <c r="I1312" s="66">
        <v>0.6595586537900523</v>
      </c>
      <c r="J1312" s="186">
        <v>0</v>
      </c>
    </row>
    <row r="1313" spans="1:11">
      <c r="A1313" s="65">
        <v>8059</v>
      </c>
      <c r="B1313" s="52">
        <v>0.19</v>
      </c>
      <c r="C1313" s="184">
        <v>0.5636363636363636</v>
      </c>
      <c r="D1313" s="181">
        <v>94736842.105263159</v>
      </c>
      <c r="E1313" s="26">
        <f>VLOOKUP(8059,季財報!$A:$H,8,0)</f>
        <v>0</v>
      </c>
      <c r="F1313" s="184">
        <v>-8.2483333333333325E-2</v>
      </c>
      <c r="G1313" s="54">
        <v>1051578947.3684211</v>
      </c>
      <c r="H1313" s="54">
        <v>1916770000</v>
      </c>
      <c r="I1313" s="66">
        <v>0.54862030779301696</v>
      </c>
      <c r="J1313" s="186">
        <v>25.912563667232597</v>
      </c>
    </row>
    <row r="1314" spans="1:11">
      <c r="A1314" s="65">
        <v>8064</v>
      </c>
      <c r="B1314" s="52">
        <v>0.12</v>
      </c>
      <c r="C1314" s="184">
        <v>0</v>
      </c>
      <c r="D1314" s="181">
        <v>133333333.33333334</v>
      </c>
      <c r="E1314" s="26">
        <f>VLOOKUP(8064,季財報!$A:$H,8,0)</f>
        <v>0</v>
      </c>
      <c r="F1314" s="184">
        <v>1.0416666666666675E-3</v>
      </c>
      <c r="G1314" s="54">
        <v>1520000000.0000002</v>
      </c>
      <c r="H1314" s="54">
        <v>2993237000</v>
      </c>
      <c r="I1314" s="66">
        <v>0.50781144292951086</v>
      </c>
      <c r="J1314" s="186">
        <v>0</v>
      </c>
    </row>
    <row r="1315" spans="1:11">
      <c r="A1315" s="65">
        <v>8066</v>
      </c>
      <c r="B1315" s="52">
        <v>2.48</v>
      </c>
      <c r="C1315" s="184">
        <v>1</v>
      </c>
      <c r="D1315" s="181">
        <v>24596774.193548389</v>
      </c>
      <c r="E1315" s="26">
        <f>VLOOKUP(8066,季財報!$A:$H,8,0)</f>
        <v>0</v>
      </c>
      <c r="F1315" s="184">
        <v>0.21779999999999999</v>
      </c>
      <c r="G1315" s="54">
        <v>2681048387.0967746</v>
      </c>
      <c r="H1315" s="54">
        <v>7273413000</v>
      </c>
      <c r="I1315" s="66">
        <v>0.36860939796719566</v>
      </c>
      <c r="J1315" s="186">
        <v>10.987903225806452</v>
      </c>
    </row>
    <row r="1316" spans="1:11">
      <c r="A1316" s="65">
        <v>8067</v>
      </c>
      <c r="B1316" s="52">
        <v>0.05</v>
      </c>
      <c r="C1316" s="184">
        <v>1</v>
      </c>
      <c r="D1316" s="181">
        <v>40000000</v>
      </c>
      <c r="E1316" s="26">
        <f>VLOOKUP(8067,季財報!$A:$H,8,0)</f>
        <v>0</v>
      </c>
      <c r="F1316" s="184">
        <v>8.3333333333332829E-6</v>
      </c>
      <c r="G1316" s="54">
        <v>197600000.00000003</v>
      </c>
      <c r="H1316" s="54">
        <v>532106000</v>
      </c>
      <c r="I1316" s="66">
        <v>0.37135457972659586</v>
      </c>
      <c r="J1316" s="186">
        <v>24.7</v>
      </c>
    </row>
    <row r="1317" spans="1:11">
      <c r="A1317" s="65">
        <v>8068</v>
      </c>
      <c r="B1317" s="52">
        <v>0</v>
      </c>
      <c r="C1317" s="184">
        <v>0</v>
      </c>
      <c r="D1317" s="181">
        <v>0</v>
      </c>
      <c r="E1317" s="26">
        <f>VLOOKUP(8068,季財報!$A:$H,8,0)</f>
        <v>0</v>
      </c>
      <c r="F1317" s="184">
        <v>0.13315000000000002</v>
      </c>
      <c r="G1317" s="54">
        <v>0</v>
      </c>
      <c r="H1317" s="54">
        <v>1501135000</v>
      </c>
      <c r="I1317" s="66">
        <v>0</v>
      </c>
      <c r="J1317" s="186">
        <v>0</v>
      </c>
    </row>
    <row r="1318" spans="1:11">
      <c r="A1318" s="65">
        <v>8069</v>
      </c>
      <c r="B1318" s="52">
        <v>0.7</v>
      </c>
      <c r="C1318" s="184">
        <v>0</v>
      </c>
      <c r="D1318" s="181">
        <v>1140000000</v>
      </c>
      <c r="E1318" s="26">
        <f>VLOOKUP(8069,季財報!$A:$H,8,0)</f>
        <v>0</v>
      </c>
      <c r="F1318" s="184">
        <v>-1.2499999999999548E-4</v>
      </c>
      <c r="G1318" s="54">
        <v>18525000000</v>
      </c>
      <c r="H1318" s="54">
        <v>14283690000</v>
      </c>
      <c r="I1318" s="66">
        <v>1.2969337755159907</v>
      </c>
      <c r="J1318" s="186">
        <v>0</v>
      </c>
    </row>
    <row r="1319" spans="1:11">
      <c r="A1319" s="65">
        <v>8070</v>
      </c>
      <c r="B1319" s="52">
        <v>0.68</v>
      </c>
      <c r="C1319" s="184">
        <v>0</v>
      </c>
      <c r="D1319" s="181">
        <v>76470588.235294119</v>
      </c>
      <c r="E1319" s="26">
        <f>VLOOKUP(8070,季財報!$A:$H,8,0)</f>
        <v>0</v>
      </c>
      <c r="F1319" s="184">
        <v>-5.7333333333333333E-3</v>
      </c>
      <c r="G1319" s="54">
        <v>6844117647.0588236</v>
      </c>
      <c r="H1319" s="54">
        <v>15725809000</v>
      </c>
      <c r="I1319" s="66">
        <v>0.43521561574726131</v>
      </c>
      <c r="J1319" s="186">
        <v>0</v>
      </c>
    </row>
    <row r="1320" spans="1:11">
      <c r="A1320" s="65">
        <v>8071</v>
      </c>
      <c r="B1320" s="52">
        <v>-0.28000000000000003</v>
      </c>
      <c r="C1320" s="184">
        <v>1</v>
      </c>
      <c r="D1320" s="181">
        <v>53571428.571428567</v>
      </c>
      <c r="E1320" s="26">
        <f>VLOOKUP(8071,季財報!$A:$H,8,0)</f>
        <v>0</v>
      </c>
      <c r="F1320" s="184">
        <v>2.8408333333333327E-2</v>
      </c>
      <c r="G1320" s="54">
        <v>685714285.71428573</v>
      </c>
      <c r="H1320" s="54">
        <v>2220784000</v>
      </c>
      <c r="I1320" s="66">
        <v>0.30877126533435295</v>
      </c>
      <c r="J1320" s="186">
        <v>0</v>
      </c>
    </row>
    <row r="1321" spans="1:11">
      <c r="A1321" s="65">
        <v>8072</v>
      </c>
      <c r="B1321" s="52">
        <v>0.57999999999999996</v>
      </c>
      <c r="C1321" s="184">
        <v>0.26315789473684209</v>
      </c>
      <c r="D1321" s="181">
        <v>100000000</v>
      </c>
      <c r="E1321" s="26">
        <f>VLOOKUP(8072,季財報!$A:$H,8,0)</f>
        <v>0</v>
      </c>
      <c r="F1321" s="184">
        <v>-2.2358333333333338E-2</v>
      </c>
      <c r="G1321" s="54">
        <v>2645000000</v>
      </c>
      <c r="H1321" s="54">
        <v>1707059000</v>
      </c>
      <c r="I1321" s="66">
        <v>1.5494484959219337</v>
      </c>
      <c r="J1321" s="186">
        <v>43.323275862068968</v>
      </c>
    </row>
    <row r="1322" spans="1:11">
      <c r="A1322" s="65">
        <v>8074</v>
      </c>
      <c r="B1322" s="52">
        <v>0.76</v>
      </c>
      <c r="C1322" s="184">
        <v>0.83132530120481929</v>
      </c>
      <c r="D1322" s="181">
        <v>63157894.736842103</v>
      </c>
      <c r="E1322" s="26">
        <f>VLOOKUP(8074,季財報!$A:$H,8,0)</f>
        <v>0</v>
      </c>
      <c r="F1322" s="184">
        <v>-5.1416666666666685E-3</v>
      </c>
      <c r="G1322" s="54">
        <v>1585263157.8947368</v>
      </c>
      <c r="H1322" s="54">
        <v>1185196000</v>
      </c>
      <c r="I1322" s="66">
        <v>1.3375535842972275</v>
      </c>
      <c r="J1322" s="186">
        <v>9.931826849733028</v>
      </c>
    </row>
    <row r="1323" spans="1:11">
      <c r="A1323" s="65">
        <v>8076</v>
      </c>
      <c r="B1323" s="52">
        <v>0.4</v>
      </c>
      <c r="C1323" s="184">
        <v>0.75</v>
      </c>
      <c r="D1323" s="181">
        <v>235000000</v>
      </c>
      <c r="E1323" s="26">
        <f>VLOOKUP(8076,季財報!$A:$H,8,0)</f>
        <v>0</v>
      </c>
      <c r="F1323" s="184">
        <v>6.3249999999999912E-3</v>
      </c>
      <c r="G1323" s="54">
        <v>22442500000</v>
      </c>
      <c r="H1323" s="54">
        <v>2755650000</v>
      </c>
      <c r="I1323" s="66">
        <v>8.1441765100792924</v>
      </c>
      <c r="J1323" s="186">
        <v>50</v>
      </c>
    </row>
    <row r="1324" spans="1:11">
      <c r="A1324" s="65">
        <v>8077</v>
      </c>
      <c r="B1324" s="52">
        <v>-0.25</v>
      </c>
      <c r="C1324" s="184">
        <v>1</v>
      </c>
      <c r="D1324" s="181">
        <v>52000000</v>
      </c>
      <c r="E1324" s="26">
        <f>VLOOKUP(8077,季財報!$A:$H,8,0)</f>
        <v>0</v>
      </c>
      <c r="F1324" s="184">
        <v>0.91625833333333351</v>
      </c>
      <c r="G1324" s="54">
        <v>0</v>
      </c>
      <c r="H1324" s="54">
        <v>214415000</v>
      </c>
      <c r="I1324" s="66">
        <v>0</v>
      </c>
      <c r="J1324" s="186">
        <v>0</v>
      </c>
    </row>
    <row r="1325" spans="1:11">
      <c r="A1325" s="65">
        <v>8079</v>
      </c>
      <c r="B1325" s="52">
        <v>0.38</v>
      </c>
      <c r="C1325" s="184">
        <v>0.96610169491525422</v>
      </c>
      <c r="D1325" s="181">
        <v>81578947.368421048</v>
      </c>
      <c r="E1325" s="26">
        <f>VLOOKUP(8079,季財報!$A:$H,8,0)</f>
        <v>0</v>
      </c>
      <c r="F1325" s="184">
        <v>-1.6583333333333335E-3</v>
      </c>
      <c r="G1325" s="54">
        <v>1027894736.8421052</v>
      </c>
      <c r="H1325" s="54">
        <v>489424000</v>
      </c>
      <c r="I1325" s="66">
        <v>2.1002131829295356</v>
      </c>
      <c r="J1325" s="186">
        <v>8.5803324099723</v>
      </c>
    </row>
    <row r="1326" spans="1:11">
      <c r="A1326" s="65">
        <v>8080</v>
      </c>
      <c r="B1326" s="52">
        <v>-0.48</v>
      </c>
      <c r="C1326" s="184">
        <v>0.71698113207547165</v>
      </c>
      <c r="D1326" s="181">
        <v>64583333.333333336</v>
      </c>
      <c r="E1326" s="26">
        <f>VLOOKUP(8080,季財報!$A:$H,8,0)</f>
        <v>0</v>
      </c>
      <c r="F1326" s="184">
        <v>-3.4983333333333332E-2</v>
      </c>
      <c r="G1326" s="54">
        <v>920312500</v>
      </c>
      <c r="H1326" s="54">
        <v>482945000</v>
      </c>
      <c r="I1326" s="66">
        <v>1.9056258994295416</v>
      </c>
      <c r="J1326" s="186">
        <v>0</v>
      </c>
    </row>
    <row r="1327" spans="1:11">
      <c r="A1327" s="65">
        <v>8081</v>
      </c>
      <c r="B1327" s="52">
        <v>1.77</v>
      </c>
      <c r="C1327" s="184">
        <v>0.72222222222222221</v>
      </c>
      <c r="D1327" s="181">
        <v>85310734.463276833</v>
      </c>
      <c r="E1327" s="26">
        <f>VLOOKUP(8081,季財報!$A:$H,8,0)</f>
        <v>0</v>
      </c>
      <c r="F1327" s="184">
        <v>-1.2091666666666667E-2</v>
      </c>
      <c r="G1327" s="54">
        <v>4862711864.4067793</v>
      </c>
      <c r="H1327" s="54">
        <v>3481507000</v>
      </c>
      <c r="I1327" s="66">
        <v>1.3967261488794305</v>
      </c>
      <c r="J1327" s="186">
        <v>11.147327249022164</v>
      </c>
      <c r="K1327" s="32"/>
    </row>
    <row r="1328" spans="1:11">
      <c r="A1328" s="65">
        <v>8082</v>
      </c>
      <c r="B1328" s="52">
        <v>-0.03</v>
      </c>
      <c r="C1328" s="184">
        <v>0.36</v>
      </c>
      <c r="D1328" s="181">
        <v>100000000</v>
      </c>
      <c r="E1328" s="26">
        <f>VLOOKUP(8082,季財報!$A:$H,8,0)</f>
        <v>0</v>
      </c>
      <c r="F1328" s="184">
        <v>5.445833333333331E-2</v>
      </c>
      <c r="G1328" s="54">
        <v>238000000</v>
      </c>
      <c r="H1328" s="54">
        <v>4853000</v>
      </c>
      <c r="I1328" s="66">
        <v>10</v>
      </c>
      <c r="J1328" s="186">
        <v>0</v>
      </c>
    </row>
    <row r="1329" spans="1:10">
      <c r="A1329" s="65">
        <v>8083</v>
      </c>
      <c r="B1329" s="52">
        <v>2.4500000000000002</v>
      </c>
      <c r="C1329" s="184">
        <v>0.86250000000000004</v>
      </c>
      <c r="D1329" s="181">
        <v>35102040.816326529</v>
      </c>
      <c r="E1329" s="26">
        <f>VLOOKUP(8083,季財報!$A:$H,8,0)</f>
        <v>0</v>
      </c>
      <c r="F1329" s="184">
        <v>3.7916666666666606E-3</v>
      </c>
      <c r="G1329" s="54">
        <v>4756326530.6122446</v>
      </c>
      <c r="H1329" s="54">
        <v>1273007000</v>
      </c>
      <c r="I1329" s="66">
        <v>3.7362925189038587</v>
      </c>
      <c r="J1329" s="186">
        <v>16.030760130139011</v>
      </c>
    </row>
    <row r="1330" spans="1:10">
      <c r="A1330" s="65">
        <v>8084</v>
      </c>
      <c r="B1330" s="52">
        <v>-0.53</v>
      </c>
      <c r="C1330" s="184">
        <v>1</v>
      </c>
      <c r="D1330" s="181">
        <v>54716981.132075466</v>
      </c>
      <c r="E1330" s="26">
        <f>VLOOKUP(8084,季財報!$A:$H,8,0)</f>
        <v>0</v>
      </c>
      <c r="F1330" s="184">
        <v>0.10124166666666666</v>
      </c>
      <c r="G1330" s="54">
        <v>1258490566.0377357</v>
      </c>
      <c r="H1330" s="54">
        <v>1982772000</v>
      </c>
      <c r="I1330" s="66">
        <v>0.63471269820117271</v>
      </c>
      <c r="J1330" s="186">
        <v>0</v>
      </c>
    </row>
    <row r="1331" spans="1:10">
      <c r="A1331" s="65">
        <v>8085</v>
      </c>
      <c r="B1331" s="52">
        <v>-0.18</v>
      </c>
      <c r="C1331" s="184">
        <v>1</v>
      </c>
      <c r="D1331" s="181">
        <v>155555555.55555555</v>
      </c>
      <c r="E1331" s="26">
        <f>VLOOKUP(8085,季財報!$A:$H,8,0)</f>
        <v>0</v>
      </c>
      <c r="F1331" s="184">
        <v>6.7499999999999624E-4</v>
      </c>
      <c r="G1331" s="54">
        <v>658000000</v>
      </c>
      <c r="H1331" s="54">
        <v>1851720000</v>
      </c>
      <c r="I1331" s="66">
        <v>0.3553453005854017</v>
      </c>
      <c r="J1331" s="186">
        <v>0</v>
      </c>
    </row>
    <row r="1332" spans="1:10">
      <c r="A1332" s="65">
        <v>8086</v>
      </c>
      <c r="B1332" s="52">
        <v>2.25</v>
      </c>
      <c r="C1332" s="184">
        <v>0.94991364421416236</v>
      </c>
      <c r="D1332" s="181">
        <v>139555555.55555555</v>
      </c>
      <c r="E1332" s="26">
        <f>VLOOKUP(8086,季財報!$A:$H,8,0)</f>
        <v>0</v>
      </c>
      <c r="F1332" s="184">
        <v>7.5916666666666658E-3</v>
      </c>
      <c r="G1332" s="54">
        <v>11736622222.222221</v>
      </c>
      <c r="H1332" s="54">
        <v>4366552000</v>
      </c>
      <c r="I1332" s="66">
        <v>2.6878466630472331</v>
      </c>
      <c r="J1332" s="186">
        <v>9.8371515151515148</v>
      </c>
    </row>
    <row r="1333" spans="1:10">
      <c r="A1333" s="65">
        <v>8087</v>
      </c>
      <c r="B1333" s="52">
        <v>-0.03</v>
      </c>
      <c r="C1333" s="184">
        <v>0.5</v>
      </c>
      <c r="D1333" s="181">
        <v>33333333.333333336</v>
      </c>
      <c r="E1333" s="26">
        <f>VLOOKUP(8087,季財報!$A:$H,8,0)</f>
        <v>0</v>
      </c>
      <c r="F1333" s="184">
        <v>4.8749999999999988E-2</v>
      </c>
      <c r="G1333" s="54">
        <v>0</v>
      </c>
      <c r="H1333" s="54">
        <v>148626000</v>
      </c>
      <c r="I1333" s="66">
        <v>0</v>
      </c>
      <c r="J1333" s="186">
        <v>0</v>
      </c>
    </row>
    <row r="1334" spans="1:10">
      <c r="A1334" s="65">
        <v>8088</v>
      </c>
      <c r="B1334" s="52">
        <v>0.77</v>
      </c>
      <c r="C1334" s="184">
        <v>0.50980392156862742</v>
      </c>
      <c r="D1334" s="181">
        <v>58441558.441558443</v>
      </c>
      <c r="E1334" s="26">
        <f>VLOOKUP(8088,季財報!$A:$H,8,0)</f>
        <v>0</v>
      </c>
      <c r="F1334" s="184">
        <v>-2.6800000000000001E-2</v>
      </c>
      <c r="G1334" s="54">
        <v>1002272727.2727273</v>
      </c>
      <c r="H1334" s="54">
        <v>2090672000</v>
      </c>
      <c r="I1334" s="66">
        <v>0.47940218612614854</v>
      </c>
      <c r="J1334" s="186">
        <v>10.922202797202797</v>
      </c>
    </row>
    <row r="1335" spans="1:10">
      <c r="A1335" s="65">
        <v>8091</v>
      </c>
      <c r="B1335" s="52">
        <v>1.62</v>
      </c>
      <c r="C1335" s="184">
        <v>0.87179487179487181</v>
      </c>
      <c r="D1335" s="181">
        <v>59876543.209876537</v>
      </c>
      <c r="E1335" s="26">
        <f>VLOOKUP(8091,季財報!$A:$H,8,0)</f>
        <v>0</v>
      </c>
      <c r="F1335" s="184">
        <v>0.10411666666666665</v>
      </c>
      <c r="G1335" s="54">
        <v>3927901234.5679007</v>
      </c>
      <c r="H1335" s="54">
        <v>2045191000</v>
      </c>
      <c r="I1335" s="66">
        <v>1.920554723039511</v>
      </c>
      <c r="J1335" s="186">
        <v>11.612200435729845</v>
      </c>
    </row>
    <row r="1336" spans="1:10">
      <c r="A1336" s="65">
        <v>8092</v>
      </c>
      <c r="B1336" s="52">
        <v>-0.16</v>
      </c>
      <c r="C1336" s="184">
        <v>0.6875</v>
      </c>
      <c r="D1336" s="181">
        <v>37500000</v>
      </c>
      <c r="E1336" s="26">
        <f>VLOOKUP(8092,季財報!$A:$H,8,0)</f>
        <v>0</v>
      </c>
      <c r="F1336" s="184">
        <v>9.9683333333333304E-2</v>
      </c>
      <c r="G1336" s="54">
        <v>277875000</v>
      </c>
      <c r="H1336" s="54">
        <v>424523000</v>
      </c>
      <c r="I1336" s="66">
        <v>0.65455817470431521</v>
      </c>
      <c r="J1336" s="186">
        <v>0</v>
      </c>
    </row>
    <row r="1337" spans="1:10">
      <c r="A1337" s="65">
        <v>8093</v>
      </c>
      <c r="B1337" s="52">
        <v>0.39</v>
      </c>
      <c r="C1337" s="184">
        <v>1</v>
      </c>
      <c r="D1337" s="181">
        <v>64102564.102564104</v>
      </c>
      <c r="E1337" s="26">
        <f>VLOOKUP(8093,季財報!$A:$H,8,0)</f>
        <v>0</v>
      </c>
      <c r="F1337" s="184">
        <v>1.065E-2</v>
      </c>
      <c r="G1337" s="54">
        <v>368589743.58974361</v>
      </c>
      <c r="H1337" s="54">
        <v>565357000</v>
      </c>
      <c r="I1337" s="66">
        <v>0.65195928163928918</v>
      </c>
      <c r="J1337" s="186">
        <v>3.6858974358974357</v>
      </c>
    </row>
    <row r="1338" spans="1:10">
      <c r="A1338" s="65">
        <v>8096</v>
      </c>
      <c r="B1338" s="52">
        <v>1.18</v>
      </c>
      <c r="C1338" s="184">
        <v>0.27814569536423839</v>
      </c>
      <c r="D1338" s="181">
        <v>122033898.30508475</v>
      </c>
      <c r="E1338" s="26">
        <f>VLOOKUP(8096,季財報!$A:$H,8,0)</f>
        <v>0</v>
      </c>
      <c r="F1338" s="184">
        <v>0.19891666666666666</v>
      </c>
      <c r="G1338" s="54">
        <v>3191186440.6779661</v>
      </c>
      <c r="H1338" s="54">
        <v>36255810000</v>
      </c>
      <c r="I1338" s="66">
        <v>8.801862213747165E-2</v>
      </c>
      <c r="J1338" s="186">
        <v>19.918533091202583</v>
      </c>
    </row>
    <row r="1339" spans="1:10">
      <c r="A1339" s="65">
        <v>8097</v>
      </c>
      <c r="B1339" s="52">
        <v>-0.17</v>
      </c>
      <c r="C1339" s="184">
        <v>1</v>
      </c>
      <c r="D1339" s="181">
        <v>29411764.705882352</v>
      </c>
      <c r="E1339" s="26">
        <f>VLOOKUP(8097,季財報!$A:$H,8,0)</f>
        <v>0</v>
      </c>
      <c r="F1339" s="184">
        <v>0.93910833333333332</v>
      </c>
      <c r="G1339" s="54">
        <v>350000000</v>
      </c>
      <c r="H1339" s="54">
        <v>58277000</v>
      </c>
      <c r="I1339" s="66">
        <v>6.0057998867477735</v>
      </c>
      <c r="J1339" s="186">
        <v>0</v>
      </c>
    </row>
    <row r="1340" spans="1:10">
      <c r="A1340" s="65">
        <v>8099</v>
      </c>
      <c r="B1340" s="52">
        <v>0.36</v>
      </c>
      <c r="C1340" s="184">
        <v>0.96</v>
      </c>
      <c r="D1340" s="181">
        <v>66666666.666666672</v>
      </c>
      <c r="E1340" s="26">
        <f>VLOOKUP(8099,季財報!$A:$H,8,0)</f>
        <v>0</v>
      </c>
      <c r="F1340" s="184">
        <v>-1.2283333333333332E-2</v>
      </c>
      <c r="G1340" s="54">
        <v>1170000000.0000002</v>
      </c>
      <c r="H1340" s="54">
        <v>3431249000</v>
      </c>
      <c r="I1340" s="66">
        <v>0.34098370593332056</v>
      </c>
      <c r="J1340" s="186">
        <v>12.695312500000002</v>
      </c>
    </row>
    <row r="1341" spans="1:10">
      <c r="A1341" s="65">
        <v>8101</v>
      </c>
      <c r="B1341" s="52">
        <v>-0.23</v>
      </c>
      <c r="C1341" s="184">
        <v>0.40217391304347827</v>
      </c>
      <c r="D1341" s="181">
        <v>421739130.43478256</v>
      </c>
      <c r="E1341" s="26">
        <f>VLOOKUP(8101,季財報!$A:$H,8,0)</f>
        <v>0</v>
      </c>
      <c r="F1341" s="184">
        <v>-1.0825000000000015E-2</v>
      </c>
      <c r="G1341" s="54">
        <v>3432956521.7391305</v>
      </c>
      <c r="H1341" s="54">
        <v>22131971000</v>
      </c>
      <c r="I1341" s="66">
        <v>0.15511300469981323</v>
      </c>
      <c r="J1341" s="186">
        <v>0</v>
      </c>
    </row>
    <row r="1342" spans="1:10">
      <c r="A1342" s="65">
        <v>8103</v>
      </c>
      <c r="B1342" s="52">
        <v>-0.7</v>
      </c>
      <c r="C1342" s="184">
        <v>1</v>
      </c>
      <c r="D1342" s="181">
        <v>77142857.142857149</v>
      </c>
      <c r="E1342" s="26">
        <f>VLOOKUP(8103,季財報!$A:$H,8,0)</f>
        <v>0</v>
      </c>
      <c r="F1342" s="184">
        <v>-1.1433333333333342E-2</v>
      </c>
      <c r="G1342" s="54">
        <v>1936285714.2857146</v>
      </c>
      <c r="H1342" s="54">
        <v>2897383000</v>
      </c>
      <c r="I1342" s="66">
        <v>0.66828780119359943</v>
      </c>
      <c r="J1342" s="186">
        <v>0</v>
      </c>
    </row>
    <row r="1343" spans="1:10">
      <c r="A1343" s="65">
        <v>8105</v>
      </c>
      <c r="B1343" s="52">
        <v>0.79</v>
      </c>
      <c r="C1343" s="184">
        <v>0.37309644670050762</v>
      </c>
      <c r="D1343" s="181">
        <v>439240506.3291139</v>
      </c>
      <c r="E1343" s="26">
        <f>VLOOKUP(8105,季財報!$A:$H,8,0)</f>
        <v>0</v>
      </c>
      <c r="F1343" s="184">
        <v>2.4150000000000005E-2</v>
      </c>
      <c r="G1343" s="54">
        <v>10805316455.696203</v>
      </c>
      <c r="H1343" s="54">
        <v>10675241000</v>
      </c>
      <c r="I1343" s="66">
        <v>1.0121847793128234</v>
      </c>
      <c r="J1343" s="186">
        <v>20.86540945492121</v>
      </c>
    </row>
    <row r="1344" spans="1:10">
      <c r="A1344" s="65">
        <v>8107</v>
      </c>
      <c r="B1344" s="52">
        <v>0.31</v>
      </c>
      <c r="C1344" s="184">
        <v>0</v>
      </c>
      <c r="D1344" s="181">
        <v>116129032.25806452</v>
      </c>
      <c r="E1344" s="26">
        <f>VLOOKUP(8107,季財報!$A:$H,8,0)</f>
        <v>0</v>
      </c>
      <c r="F1344" s="184">
        <v>-1.1833333333333348E-3</v>
      </c>
      <c r="G1344" s="54">
        <v>2218064516.1290326</v>
      </c>
      <c r="H1344" s="54">
        <v>1062622000</v>
      </c>
      <c r="I1344" s="66">
        <v>2.0873504558808613</v>
      </c>
      <c r="J1344" s="186">
        <v>0</v>
      </c>
    </row>
    <row r="1345" spans="1:10">
      <c r="A1345" s="65">
        <v>8109</v>
      </c>
      <c r="B1345" s="52">
        <v>2.65</v>
      </c>
      <c r="C1345" s="184">
        <v>0.5321100917431193</v>
      </c>
      <c r="D1345" s="181">
        <v>59622641.509433962</v>
      </c>
      <c r="E1345" s="26">
        <f>VLOOKUP(8109,季財報!$A:$H,8,0)</f>
        <v>0</v>
      </c>
      <c r="F1345" s="184">
        <v>5.2666666666666652E-3</v>
      </c>
      <c r="G1345" s="54">
        <v>3756226415.0943398</v>
      </c>
      <c r="H1345" s="54">
        <v>908685000</v>
      </c>
      <c r="I1345" s="66">
        <v>4.1336947513102338</v>
      </c>
      <c r="J1345" s="186">
        <v>11.169486011711125</v>
      </c>
    </row>
    <row r="1346" spans="1:10">
      <c r="A1346" s="65">
        <v>8110</v>
      </c>
      <c r="B1346" s="52">
        <v>0.31</v>
      </c>
      <c r="C1346" s="184">
        <v>0</v>
      </c>
      <c r="D1346" s="181">
        <v>487096774.19354838</v>
      </c>
      <c r="E1346" s="26">
        <f>VLOOKUP(8110,季財報!$A:$H,8,0)</f>
        <v>0</v>
      </c>
      <c r="F1346" s="184">
        <v>-1.7408333333333331E-2</v>
      </c>
      <c r="G1346" s="54">
        <v>4846612903.2258062</v>
      </c>
      <c r="H1346" s="54">
        <v>8015984000</v>
      </c>
      <c r="I1346" s="66">
        <v>0.60461858497045484</v>
      </c>
      <c r="J1346" s="186">
        <v>0</v>
      </c>
    </row>
    <row r="1347" spans="1:10">
      <c r="A1347" s="65">
        <v>8111</v>
      </c>
      <c r="B1347" s="52">
        <v>-0.11</v>
      </c>
      <c r="C1347" s="184">
        <v>1</v>
      </c>
      <c r="D1347" s="181">
        <v>109090909.09090909</v>
      </c>
      <c r="E1347" s="26">
        <f>VLOOKUP(8111,季財報!$A:$H,8,0)</f>
        <v>0</v>
      </c>
      <c r="F1347" s="184">
        <v>-1.4783333333333338E-2</v>
      </c>
      <c r="G1347" s="54">
        <v>478909090.90909088</v>
      </c>
      <c r="H1347" s="54">
        <v>810678000</v>
      </c>
      <c r="I1347" s="66">
        <v>0.59075131051920848</v>
      </c>
      <c r="J1347" s="186">
        <v>0</v>
      </c>
    </row>
    <row r="1348" spans="1:10">
      <c r="A1348" s="65">
        <v>8112</v>
      </c>
      <c r="B1348" s="52">
        <v>0.35</v>
      </c>
      <c r="C1348" s="184">
        <v>1</v>
      </c>
      <c r="D1348" s="181">
        <v>285714285.71428573</v>
      </c>
      <c r="E1348" s="26">
        <f>VLOOKUP(8112,季財報!$A:$H,8,0)</f>
        <v>0</v>
      </c>
      <c r="F1348" s="184">
        <v>7.0349999999999982E-2</v>
      </c>
      <c r="G1348" s="54">
        <v>3828571428.5714288</v>
      </c>
      <c r="H1348" s="54">
        <v>69525125000</v>
      </c>
      <c r="I1348" s="66">
        <v>5.5067451206616727E-2</v>
      </c>
      <c r="J1348" s="186">
        <v>9.571428571428573</v>
      </c>
    </row>
    <row r="1349" spans="1:10">
      <c r="A1349" s="65">
        <v>8114</v>
      </c>
      <c r="B1349" s="52">
        <v>3.01</v>
      </c>
      <c r="C1349" s="184">
        <v>0.89196675900277012</v>
      </c>
      <c r="D1349" s="181">
        <v>67774086.378737539</v>
      </c>
      <c r="E1349" s="26">
        <f>VLOOKUP(8114,季財報!$A:$H,8,0)</f>
        <v>0</v>
      </c>
      <c r="F1349" s="184">
        <v>3.2616666666666662E-2</v>
      </c>
      <c r="G1349" s="54">
        <v>11114950166.112957</v>
      </c>
      <c r="H1349" s="54">
        <v>2939638000</v>
      </c>
      <c r="I1349" s="66">
        <v>3.7810608537898056</v>
      </c>
      <c r="J1349" s="186">
        <v>15.271042694125173</v>
      </c>
    </row>
    <row r="1350" spans="1:10">
      <c r="A1350" s="65">
        <v>8121</v>
      </c>
      <c r="B1350" s="52">
        <v>-0.55000000000000004</v>
      </c>
      <c r="C1350" s="184">
        <v>1</v>
      </c>
      <c r="D1350" s="181">
        <v>183636363.63636363</v>
      </c>
      <c r="E1350" s="26">
        <f>VLOOKUP(8121,季財報!$A:$H,8,0)</f>
        <v>0</v>
      </c>
      <c r="F1350" s="184">
        <v>-9.3666666666666672E-3</v>
      </c>
      <c r="G1350" s="54">
        <v>2837181818.181818</v>
      </c>
      <c r="H1350" s="54">
        <v>2438756000</v>
      </c>
      <c r="I1350" s="66">
        <v>1.1633725629713747</v>
      </c>
      <c r="J1350" s="186">
        <v>0</v>
      </c>
    </row>
    <row r="1351" spans="1:10">
      <c r="A1351" s="65">
        <v>8131</v>
      </c>
      <c r="B1351" s="52">
        <v>0.66</v>
      </c>
      <c r="C1351" s="184">
        <v>1</v>
      </c>
      <c r="D1351" s="181">
        <v>445454545.45454544</v>
      </c>
      <c r="E1351" s="26">
        <f>VLOOKUP(8131,季財報!$A:$H,8,0)</f>
        <v>0</v>
      </c>
      <c r="F1351" s="184">
        <v>-1.0333333333333349E-3</v>
      </c>
      <c r="G1351" s="54">
        <v>9532727272.727272</v>
      </c>
      <c r="H1351" s="54">
        <v>8897262000</v>
      </c>
      <c r="I1351" s="66">
        <v>1.0714225649112359</v>
      </c>
      <c r="J1351" s="186">
        <v>8.1060606060606055</v>
      </c>
    </row>
    <row r="1352" spans="1:10">
      <c r="A1352" s="65">
        <v>8147</v>
      </c>
      <c r="B1352" s="52">
        <v>0.86</v>
      </c>
      <c r="C1352" s="184">
        <v>0.62857142857142856</v>
      </c>
      <c r="D1352" s="181">
        <v>22093023.255813953</v>
      </c>
      <c r="E1352" s="26">
        <f>VLOOKUP(8147,季財報!$A:$H,8,0)</f>
        <v>0</v>
      </c>
      <c r="F1352" s="184">
        <v>6.843333333333336E-2</v>
      </c>
      <c r="G1352" s="54">
        <v>1093604651.1627905</v>
      </c>
      <c r="H1352" s="54">
        <v>784745000</v>
      </c>
      <c r="I1352" s="66">
        <v>1.3935796356304158</v>
      </c>
      <c r="J1352" s="186">
        <v>22.892441860465116</v>
      </c>
    </row>
    <row r="1353" spans="1:10">
      <c r="A1353" s="65">
        <v>8150</v>
      </c>
      <c r="B1353" s="52">
        <v>0.65</v>
      </c>
      <c r="C1353" s="184">
        <v>0.83149171270718236</v>
      </c>
      <c r="D1353" s="181">
        <v>896923076.92307687</v>
      </c>
      <c r="E1353" s="26">
        <f>VLOOKUP(8150,季財報!$A:$H,8,0)</f>
        <v>0</v>
      </c>
      <c r="F1353" s="184">
        <v>-1.5133333333333332E-2</v>
      </c>
      <c r="G1353" s="54">
        <v>30495384615.384613</v>
      </c>
      <c r="H1353" s="54">
        <v>20572002000</v>
      </c>
      <c r="I1353" s="66">
        <v>1.4823732087613355</v>
      </c>
      <c r="J1353" s="186">
        <v>15.727063634040377</v>
      </c>
    </row>
    <row r="1354" spans="1:10">
      <c r="A1354" s="65">
        <v>8155</v>
      </c>
      <c r="B1354" s="52">
        <v>0.33</v>
      </c>
      <c r="C1354" s="184">
        <v>0.5</v>
      </c>
      <c r="D1354" s="181">
        <v>51515151.515151516</v>
      </c>
      <c r="E1354" s="26">
        <f>VLOOKUP(8155,季財報!$A:$H,8,0)</f>
        <v>0</v>
      </c>
      <c r="F1354" s="184">
        <v>-1.3333333333333336E-2</v>
      </c>
      <c r="G1354" s="54">
        <v>963333333.33333325</v>
      </c>
      <c r="H1354" s="54">
        <v>1604718000</v>
      </c>
      <c r="I1354" s="66">
        <v>0.6003131599030691</v>
      </c>
      <c r="J1354" s="186">
        <v>28.333333333333332</v>
      </c>
    </row>
    <row r="1355" spans="1:10">
      <c r="A1355" s="65">
        <v>8163</v>
      </c>
      <c r="B1355" s="52">
        <v>1.58</v>
      </c>
      <c r="C1355" s="184">
        <v>0.81818181818181823</v>
      </c>
      <c r="D1355" s="181">
        <v>313924050.63291138</v>
      </c>
      <c r="E1355" s="26">
        <f>VLOOKUP(8163,季財報!$A:$H,8,0)</f>
        <v>0</v>
      </c>
      <c r="F1355" s="184">
        <v>-5.1999999999999989E-3</v>
      </c>
      <c r="G1355" s="54">
        <v>5603544303.7974682</v>
      </c>
      <c r="H1355" s="54">
        <v>20441590000</v>
      </c>
      <c r="I1355" s="66">
        <v>0.27412467933255036</v>
      </c>
      <c r="J1355" s="186">
        <v>3.4520042194092824</v>
      </c>
    </row>
    <row r="1356" spans="1:10">
      <c r="A1356" s="65">
        <v>8171</v>
      </c>
      <c r="B1356" s="52">
        <v>0.24</v>
      </c>
      <c r="C1356" s="184">
        <v>1</v>
      </c>
      <c r="D1356" s="181">
        <v>50000000</v>
      </c>
      <c r="E1356" s="26">
        <f>VLOOKUP(8171,季財報!$A:$H,8,0)</f>
        <v>0</v>
      </c>
      <c r="F1356" s="184">
        <v>1.8983333333333345E-2</v>
      </c>
      <c r="G1356" s="54">
        <v>497499999.99999994</v>
      </c>
      <c r="H1356" s="54">
        <v>2455810000</v>
      </c>
      <c r="I1356" s="66">
        <v>0.20258081854866619</v>
      </c>
      <c r="J1356" s="186">
        <v>10.364583333333332</v>
      </c>
    </row>
    <row r="1357" spans="1:10">
      <c r="A1357" s="65">
        <v>8176</v>
      </c>
      <c r="B1357" s="52">
        <v>0.19</v>
      </c>
      <c r="C1357" s="184">
        <v>1</v>
      </c>
      <c r="D1357" s="181">
        <v>78947368.421052635</v>
      </c>
      <c r="E1357" s="26">
        <f>VLOOKUP(8176,季財報!$A:$H,8,0)</f>
        <v>0</v>
      </c>
      <c r="F1357" s="184">
        <v>9.2750000000000013E-2</v>
      </c>
      <c r="G1357" s="54">
        <v>708157894.73684216</v>
      </c>
      <c r="H1357" s="54">
        <v>1232447000</v>
      </c>
      <c r="I1357" s="66">
        <v>0.57459500874020719</v>
      </c>
      <c r="J1357" s="186">
        <v>11.80263157894737</v>
      </c>
    </row>
    <row r="1358" spans="1:10">
      <c r="A1358" s="65">
        <v>8182</v>
      </c>
      <c r="B1358" s="52">
        <v>0.44</v>
      </c>
      <c r="C1358" s="184">
        <v>0.68518518518518523</v>
      </c>
      <c r="D1358" s="181">
        <v>106818181.81818181</v>
      </c>
      <c r="E1358" s="26">
        <f>VLOOKUP(8182,季財報!$A:$H,8,0)</f>
        <v>0</v>
      </c>
      <c r="F1358" s="184">
        <v>1.7450000000000004E-2</v>
      </c>
      <c r="G1358" s="54">
        <v>1367272727.2727273</v>
      </c>
      <c r="H1358" s="54">
        <v>2784494000</v>
      </c>
      <c r="I1358" s="66">
        <v>0.49103094755195281</v>
      </c>
      <c r="J1358" s="186">
        <v>10.614250614250613</v>
      </c>
    </row>
    <row r="1359" spans="1:10">
      <c r="A1359" s="65">
        <v>8183</v>
      </c>
      <c r="B1359" s="52">
        <v>0</v>
      </c>
      <c r="C1359" s="184">
        <v>0</v>
      </c>
      <c r="D1359" s="181">
        <v>0</v>
      </c>
      <c r="E1359" s="26">
        <f>VLOOKUP(8183,季財報!$A:$H,8,0)</f>
        <v>0</v>
      </c>
      <c r="F1359" s="184">
        <v>9.4166666666667398E-4</v>
      </c>
      <c r="G1359" s="54">
        <v>0</v>
      </c>
      <c r="H1359" s="54">
        <v>2671009000</v>
      </c>
      <c r="I1359" s="66">
        <v>0</v>
      </c>
      <c r="J1359" s="186">
        <v>0</v>
      </c>
    </row>
    <row r="1360" spans="1:10">
      <c r="A1360" s="65">
        <v>8201</v>
      </c>
      <c r="B1360" s="52">
        <v>-0.31</v>
      </c>
      <c r="C1360" s="184">
        <v>1</v>
      </c>
      <c r="D1360" s="181">
        <v>87096774.193548381</v>
      </c>
      <c r="E1360" s="26">
        <f>VLOOKUP(8201,季財報!$A:$H,8,0)</f>
        <v>0</v>
      </c>
      <c r="F1360" s="184">
        <v>0.23507500000000001</v>
      </c>
      <c r="G1360" s="54">
        <v>837870967.74193537</v>
      </c>
      <c r="H1360" s="54">
        <v>987121000</v>
      </c>
      <c r="I1360" s="66">
        <v>0.84880269768542593</v>
      </c>
      <c r="J1360" s="186">
        <v>0</v>
      </c>
    </row>
    <row r="1361" spans="1:10">
      <c r="A1361" s="65">
        <v>8210</v>
      </c>
      <c r="B1361" s="52">
        <v>1.1200000000000001</v>
      </c>
      <c r="C1361" s="184">
        <v>0.78542510121457487</v>
      </c>
      <c r="D1361" s="181">
        <v>119642857.14285713</v>
      </c>
      <c r="E1361" s="26">
        <f>VLOOKUP(8210,季財報!$A:$H,8,0)</f>
        <v>0</v>
      </c>
      <c r="F1361" s="184">
        <v>2.3908333333333337E-2</v>
      </c>
      <c r="G1361" s="54">
        <v>4402857142.8571424</v>
      </c>
      <c r="H1361" s="54">
        <v>4376337000</v>
      </c>
      <c r="I1361" s="66">
        <v>1.0060598950348527</v>
      </c>
      <c r="J1361" s="186">
        <v>10.458394698085419</v>
      </c>
    </row>
    <row r="1362" spans="1:10">
      <c r="A1362" s="65">
        <v>8213</v>
      </c>
      <c r="B1362" s="52">
        <v>1.1000000000000001</v>
      </c>
      <c r="C1362" s="184">
        <v>0.86817325800376643</v>
      </c>
      <c r="D1362" s="181">
        <v>270909090.90909088</v>
      </c>
      <c r="E1362" s="26">
        <f>VLOOKUP(8213,季財報!$A:$H,8,0)</f>
        <v>0</v>
      </c>
      <c r="F1362" s="184">
        <v>5.4166666666666892E-4</v>
      </c>
      <c r="G1362" s="54">
        <v>9170272727.2727261</v>
      </c>
      <c r="H1362" s="54">
        <v>22793677000</v>
      </c>
      <c r="I1362" s="66">
        <v>0.4023165164300927</v>
      </c>
      <c r="J1362" s="186">
        <v>8.8613439163873</v>
      </c>
    </row>
    <row r="1363" spans="1:10">
      <c r="A1363" s="65">
        <v>8215</v>
      </c>
      <c r="B1363" s="52">
        <v>0.36</v>
      </c>
      <c r="C1363" s="184">
        <v>0.7432432432432432</v>
      </c>
      <c r="D1363" s="181">
        <v>325000000</v>
      </c>
      <c r="E1363" s="26">
        <f>VLOOKUP(8215,季財報!$A:$H,8,0)</f>
        <v>0</v>
      </c>
      <c r="F1363" s="184">
        <v>-1.283333333333333E-2</v>
      </c>
      <c r="G1363" s="54">
        <v>7523750000</v>
      </c>
      <c r="H1363" s="54">
        <v>15036787000</v>
      </c>
      <c r="I1363" s="66">
        <v>0.50035622636670984</v>
      </c>
      <c r="J1363" s="186">
        <v>21.630050505050505</v>
      </c>
    </row>
    <row r="1364" spans="1:10">
      <c r="A1364" s="65">
        <v>8222</v>
      </c>
      <c r="B1364" s="52">
        <v>0.44</v>
      </c>
      <c r="C1364" s="184">
        <v>0.70588235294117652</v>
      </c>
      <c r="D1364" s="181">
        <v>68181818.181818187</v>
      </c>
      <c r="E1364" s="26">
        <f>VLOOKUP(8222,季財報!$A:$H,8,0)</f>
        <v>0</v>
      </c>
      <c r="F1364" s="184">
        <v>3.2391666666666673E-2</v>
      </c>
      <c r="G1364" s="54">
        <v>1564772727.2727273</v>
      </c>
      <c r="H1364" s="54">
        <v>872656000</v>
      </c>
      <c r="I1364" s="66">
        <v>1.7931151877403322</v>
      </c>
      <c r="J1364" s="186">
        <v>18.473011363636363</v>
      </c>
    </row>
    <row r="1365" spans="1:10">
      <c r="A1365" s="65">
        <v>8234</v>
      </c>
      <c r="B1365" s="52">
        <v>0.51</v>
      </c>
      <c r="C1365" s="184">
        <v>0.58260869565217388</v>
      </c>
      <c r="D1365" s="181">
        <v>141176470.58823529</v>
      </c>
      <c r="E1365" s="26">
        <f>VLOOKUP(8234,季財報!$A:$H,8,0)</f>
        <v>0</v>
      </c>
      <c r="F1365" s="184">
        <v>1.3883333333333338E-2</v>
      </c>
      <c r="G1365" s="54">
        <v>4348235294.1176472</v>
      </c>
      <c r="H1365" s="54">
        <v>5433376000</v>
      </c>
      <c r="I1365" s="66">
        <v>0.80028242001246508</v>
      </c>
      <c r="J1365" s="186">
        <v>25.914544922446591</v>
      </c>
    </row>
    <row r="1366" spans="1:10">
      <c r="A1366" s="65">
        <v>8240</v>
      </c>
      <c r="B1366" s="52">
        <v>7.0000000000000007E-2</v>
      </c>
      <c r="C1366" s="184">
        <v>0</v>
      </c>
      <c r="D1366" s="181">
        <v>99999999.999999985</v>
      </c>
      <c r="E1366" s="26">
        <f>VLOOKUP(8240,季財報!$A:$H,8,0)</f>
        <v>0</v>
      </c>
      <c r="F1366" s="184">
        <v>-1.2274999999999996E-2</v>
      </c>
      <c r="G1366" s="54">
        <v>2004999999.9999998</v>
      </c>
      <c r="H1366" s="54">
        <v>9810982000</v>
      </c>
      <c r="I1366" s="66">
        <v>0.2043628252503164</v>
      </c>
      <c r="J1366" s="186">
        <v>0</v>
      </c>
    </row>
    <row r="1367" spans="1:10">
      <c r="A1367" s="65">
        <v>8249</v>
      </c>
      <c r="B1367" s="52">
        <v>1.1100000000000001</v>
      </c>
      <c r="C1367" s="184">
        <v>0.55555555555555558</v>
      </c>
      <c r="D1367" s="181">
        <v>127027027.02702701</v>
      </c>
      <c r="E1367" s="26">
        <f>VLOOKUP(8249,季財報!$A:$H,8,0)</f>
        <v>0</v>
      </c>
      <c r="F1367" s="184">
        <v>3.5516666666666662E-2</v>
      </c>
      <c r="G1367" s="54">
        <v>2953378378.3783779</v>
      </c>
      <c r="H1367" s="54">
        <v>5099503000</v>
      </c>
      <c r="I1367" s="66">
        <v>0.57915023844056523</v>
      </c>
      <c r="J1367" s="186">
        <v>9.4256756756756754</v>
      </c>
    </row>
    <row r="1368" spans="1:10">
      <c r="A1368" s="65">
        <v>8255</v>
      </c>
      <c r="B1368" s="52">
        <v>2.36</v>
      </c>
      <c r="C1368" s="184">
        <v>0.95138888888888884</v>
      </c>
      <c r="D1368" s="181">
        <v>75000000</v>
      </c>
      <c r="E1368" s="26">
        <f>VLOOKUP(8255,季財報!$A:$H,8,0)</f>
        <v>0</v>
      </c>
      <c r="F1368" s="184">
        <v>3.4916666666666672E-3</v>
      </c>
      <c r="G1368" s="54">
        <v>8475000000</v>
      </c>
      <c r="H1368" s="54">
        <v>3474579000</v>
      </c>
      <c r="I1368" s="66">
        <v>2.4391444258426702</v>
      </c>
      <c r="J1368" s="186">
        <v>12.581962142768775</v>
      </c>
    </row>
    <row r="1369" spans="1:10">
      <c r="A1369" s="65">
        <v>8261</v>
      </c>
      <c r="B1369" s="52">
        <v>0.33</v>
      </c>
      <c r="C1369" s="184">
        <v>0.72727272727272729</v>
      </c>
      <c r="D1369" s="181">
        <v>96969696.969696969</v>
      </c>
      <c r="E1369" s="26">
        <f>VLOOKUP(8261,季財報!$A:$H,8,0)</f>
        <v>0</v>
      </c>
      <c r="F1369" s="184">
        <v>-2.4941666666666668E-2</v>
      </c>
      <c r="G1369" s="54">
        <v>2928484848.4848485</v>
      </c>
      <c r="H1369" s="54">
        <v>1650617000</v>
      </c>
      <c r="I1369" s="66">
        <v>1.7741758678632586</v>
      </c>
      <c r="J1369" s="186">
        <v>31.458333333333329</v>
      </c>
    </row>
    <row r="1370" spans="1:10">
      <c r="A1370" s="65">
        <v>8266</v>
      </c>
      <c r="B1370" s="52">
        <v>-0.53</v>
      </c>
      <c r="C1370" s="184">
        <v>0.50724637681159424</v>
      </c>
      <c r="D1370" s="181">
        <v>28301886.792452827</v>
      </c>
      <c r="E1370" s="26">
        <f>VLOOKUP(8266,季財報!$A:$H,8,0)</f>
        <v>0</v>
      </c>
      <c r="F1370" s="184">
        <v>0.44363333333333338</v>
      </c>
      <c r="G1370" s="54">
        <v>948113207.54716969</v>
      </c>
      <c r="H1370" s="54">
        <v>2634510000</v>
      </c>
      <c r="I1370" s="66">
        <v>0.35988218209350875</v>
      </c>
      <c r="J1370" s="186">
        <v>0</v>
      </c>
    </row>
    <row r="1371" spans="1:10">
      <c r="A1371" s="65">
        <v>8271</v>
      </c>
      <c r="B1371" s="52">
        <v>0.32</v>
      </c>
      <c r="C1371" s="184">
        <v>1</v>
      </c>
      <c r="D1371" s="181">
        <v>150000000</v>
      </c>
      <c r="E1371" s="26">
        <f>VLOOKUP(8271,季財報!$A:$H,8,0)</f>
        <v>0</v>
      </c>
      <c r="F1371" s="184">
        <v>-1.6674999999999999E-2</v>
      </c>
      <c r="G1371" s="54">
        <v>2617500000</v>
      </c>
      <c r="H1371" s="54">
        <v>7811221000</v>
      </c>
      <c r="I1371" s="66">
        <v>0.33509485904956471</v>
      </c>
      <c r="J1371" s="186">
        <v>13.6328125</v>
      </c>
    </row>
    <row r="1372" spans="1:10">
      <c r="A1372" s="65">
        <v>8277</v>
      </c>
      <c r="B1372" s="52">
        <v>-0.01</v>
      </c>
      <c r="C1372" s="184">
        <v>1</v>
      </c>
      <c r="D1372" s="181">
        <v>100000000</v>
      </c>
      <c r="E1372" s="26">
        <f>VLOOKUP(8277,季財報!$A:$H,8,0)</f>
        <v>0</v>
      </c>
      <c r="F1372" s="184">
        <v>8.7633333333333341E-2</v>
      </c>
      <c r="G1372" s="54">
        <v>755000000</v>
      </c>
      <c r="H1372" s="54">
        <v>639123000</v>
      </c>
      <c r="I1372" s="66">
        <v>1.1813062587326697</v>
      </c>
      <c r="J1372" s="186">
        <v>0</v>
      </c>
    </row>
    <row r="1373" spans="1:10">
      <c r="A1373" s="65">
        <v>8287</v>
      </c>
      <c r="B1373" s="52">
        <v>0.77</v>
      </c>
      <c r="C1373" s="184">
        <v>0.27067669172932329</v>
      </c>
      <c r="D1373" s="181">
        <v>137662337.66233766</v>
      </c>
      <c r="E1373" s="26">
        <f>VLOOKUP(8287,季財報!$A:$H,8,0)</f>
        <v>0</v>
      </c>
      <c r="F1373" s="184">
        <v>2.5849999999999998E-2</v>
      </c>
      <c r="G1373" s="54">
        <v>2285194805.1948051</v>
      </c>
      <c r="H1373" s="54">
        <v>15398183000</v>
      </c>
      <c r="I1373" s="66">
        <v>0.14840678313764716</v>
      </c>
      <c r="J1373" s="186">
        <v>19.911616161616163</v>
      </c>
    </row>
    <row r="1374" spans="1:10">
      <c r="A1374" s="65">
        <v>8289</v>
      </c>
      <c r="B1374" s="52">
        <v>0.54</v>
      </c>
      <c r="C1374" s="184">
        <v>0.32727272727272727</v>
      </c>
      <c r="D1374" s="181">
        <v>77777777.777777776</v>
      </c>
      <c r="E1374" s="26">
        <f>VLOOKUP(8289,季財報!$A:$H,8,0)</f>
        <v>0</v>
      </c>
      <c r="F1374" s="184">
        <v>5.7250000000000009E-3</v>
      </c>
      <c r="G1374" s="54">
        <v>882777777.77777767</v>
      </c>
      <c r="H1374" s="54">
        <v>1603212000</v>
      </c>
      <c r="I1374" s="66">
        <v>0.55063071994082979</v>
      </c>
      <c r="J1374" s="186">
        <v>16.055812757201647</v>
      </c>
    </row>
    <row r="1375" spans="1:10">
      <c r="A1375" s="65">
        <v>8291</v>
      </c>
      <c r="B1375" s="52">
        <v>-0.26</v>
      </c>
      <c r="C1375" s="184">
        <v>1</v>
      </c>
      <c r="D1375" s="181">
        <v>76923076.923076928</v>
      </c>
      <c r="E1375" s="26">
        <f>VLOOKUP(8291,季財報!$A:$H,8,0)</f>
        <v>0</v>
      </c>
      <c r="F1375" s="184">
        <v>2.7174999999999994E-2</v>
      </c>
      <c r="G1375" s="54">
        <v>384615384.61538464</v>
      </c>
      <c r="H1375" s="54">
        <v>533278000</v>
      </c>
      <c r="I1375" s="66">
        <v>0.72122867362873522</v>
      </c>
      <c r="J1375" s="186">
        <v>0</v>
      </c>
    </row>
    <row r="1376" spans="1:10">
      <c r="A1376" s="65">
        <v>8299</v>
      </c>
      <c r="B1376" s="52">
        <v>6</v>
      </c>
      <c r="C1376" s="184">
        <v>0.88846520495710202</v>
      </c>
      <c r="D1376" s="181">
        <v>197333333.33333334</v>
      </c>
      <c r="E1376" s="26">
        <f>VLOOKUP(8299,季財報!$A:$H,8,0)</f>
        <v>0</v>
      </c>
      <c r="F1376" s="184">
        <v>2.850833333333333E-2</v>
      </c>
      <c r="G1376" s="54">
        <v>50320000000</v>
      </c>
      <c r="H1376" s="54">
        <v>36634847000</v>
      </c>
      <c r="I1376" s="66">
        <v>1.3735556204179042</v>
      </c>
      <c r="J1376" s="186">
        <v>11.958825107296137</v>
      </c>
    </row>
    <row r="1377" spans="1:11">
      <c r="A1377" s="65">
        <v>8341</v>
      </c>
      <c r="B1377" s="52">
        <v>1.2</v>
      </c>
      <c r="C1377" s="184">
        <v>1</v>
      </c>
      <c r="D1377" s="181">
        <v>111666666.66666667</v>
      </c>
      <c r="E1377" s="26">
        <f>VLOOKUP(8341,季財報!$A:$H,8,0)</f>
        <v>0</v>
      </c>
      <c r="F1377" s="184">
        <v>6.4583333333333326E-2</v>
      </c>
      <c r="G1377" s="54">
        <v>15633333333.333334</v>
      </c>
      <c r="H1377" s="54">
        <v>1578718000</v>
      </c>
      <c r="I1377" s="66">
        <v>9.9025496214861253</v>
      </c>
      <c r="J1377" s="186">
        <v>29.166666666666668</v>
      </c>
    </row>
    <row r="1378" spans="1:11">
      <c r="A1378" s="65">
        <v>8349</v>
      </c>
      <c r="B1378" s="52">
        <v>1.44</v>
      </c>
      <c r="C1378" s="184">
        <v>0.81949458483754511</v>
      </c>
      <c r="D1378" s="181">
        <v>88194444.444444448</v>
      </c>
      <c r="E1378" s="26">
        <f>VLOOKUP(8349,季財報!$A:$H,8,0)</f>
        <v>0</v>
      </c>
      <c r="F1378" s="184">
        <v>1.3408333333333328E-2</v>
      </c>
      <c r="G1378" s="54">
        <v>7152569444.4444447</v>
      </c>
      <c r="H1378" s="54">
        <v>9683473000</v>
      </c>
      <c r="I1378" s="66">
        <v>0.73863679327080733</v>
      </c>
      <c r="J1378" s="186">
        <v>17.18115210474792</v>
      </c>
    </row>
    <row r="1379" spans="1:11">
      <c r="A1379" s="65">
        <v>8354</v>
      </c>
      <c r="B1379" s="52">
        <v>0.89</v>
      </c>
      <c r="C1379" s="184">
        <v>0.46478873239436619</v>
      </c>
      <c r="D1379" s="181">
        <v>64044943.820224717</v>
      </c>
      <c r="E1379" s="26">
        <f>VLOOKUP(8354,季財報!$A:$H,8,0)</f>
        <v>0</v>
      </c>
      <c r="F1379" s="184">
        <v>-7.3083333333333377E-3</v>
      </c>
      <c r="G1379" s="54">
        <v>989494382.02247179</v>
      </c>
      <c r="H1379" s="54">
        <v>966984000</v>
      </c>
      <c r="I1379" s="66">
        <v>1.0232789601714938</v>
      </c>
      <c r="J1379" s="186">
        <v>9.337334014300307</v>
      </c>
    </row>
    <row r="1380" spans="1:11">
      <c r="A1380" s="65">
        <v>8358</v>
      </c>
      <c r="B1380" s="52">
        <v>-0.04</v>
      </c>
      <c r="C1380" s="184">
        <v>0.95238095238095233</v>
      </c>
      <c r="D1380" s="181">
        <v>200000000</v>
      </c>
      <c r="E1380" s="26">
        <f>VLOOKUP(8358,季財報!$A:$H,8,0)</f>
        <v>0</v>
      </c>
      <c r="F1380" s="184">
        <v>3.2933333333333328E-2</v>
      </c>
      <c r="G1380" s="54">
        <v>1739999999.9999998</v>
      </c>
      <c r="H1380" s="54">
        <v>4081445000</v>
      </c>
      <c r="I1380" s="66">
        <v>0.42631960004361197</v>
      </c>
      <c r="J1380" s="186">
        <v>0</v>
      </c>
    </row>
    <row r="1381" spans="1:11">
      <c r="A1381" s="65">
        <v>8374</v>
      </c>
      <c r="B1381" s="52">
        <v>-0.95</v>
      </c>
      <c r="C1381" s="184">
        <v>0.30882352941176472</v>
      </c>
      <c r="D1381" s="181">
        <v>88421052.631578952</v>
      </c>
      <c r="E1381" s="26">
        <f>VLOOKUP(8374,季財報!$A:$H,8,0)</f>
        <v>0</v>
      </c>
      <c r="F1381" s="184">
        <v>2.0366666666666665E-2</v>
      </c>
      <c r="G1381" s="54">
        <v>985894736.84210539</v>
      </c>
      <c r="H1381" s="54">
        <v>4006285000</v>
      </c>
      <c r="I1381" s="66">
        <v>0.24608701998038218</v>
      </c>
      <c r="J1381" s="186">
        <v>0</v>
      </c>
    </row>
    <row r="1382" spans="1:11">
      <c r="A1382" s="65">
        <v>8383</v>
      </c>
      <c r="B1382" s="52">
        <v>1.1299999999999999</v>
      </c>
      <c r="C1382" s="184">
        <v>0.94146341463414629</v>
      </c>
      <c r="D1382" s="181">
        <v>117699115.04424781</v>
      </c>
      <c r="E1382" s="26">
        <f>VLOOKUP(8383,季財報!$A:$H,8,0)</f>
        <v>0</v>
      </c>
      <c r="F1382" s="184">
        <v>2.5283333333333338E-2</v>
      </c>
      <c r="G1382" s="54">
        <v>6214513274.3362837</v>
      </c>
      <c r="H1382" s="54">
        <v>3031172000</v>
      </c>
      <c r="I1382" s="66">
        <v>2.0502014647589393</v>
      </c>
      <c r="J1382" s="186">
        <v>12.407721582832776</v>
      </c>
    </row>
    <row r="1383" spans="1:11">
      <c r="A1383" s="65">
        <v>8390</v>
      </c>
      <c r="B1383" s="52">
        <v>0</v>
      </c>
      <c r="C1383" s="184">
        <v>0</v>
      </c>
      <c r="D1383" s="181">
        <v>0</v>
      </c>
      <c r="E1383" s="26">
        <f>VLOOKUP(8390,季財報!$A:$H,8,0)</f>
        <v>0</v>
      </c>
      <c r="F1383" s="184">
        <v>3.6874999999999998E-2</v>
      </c>
      <c r="G1383" s="54">
        <v>0</v>
      </c>
      <c r="H1383" s="54">
        <v>3318233000</v>
      </c>
      <c r="I1383" s="66">
        <v>0</v>
      </c>
      <c r="J1383" s="186">
        <v>0</v>
      </c>
      <c r="K1383" s="32"/>
    </row>
    <row r="1384" spans="1:11">
      <c r="A1384" s="65">
        <v>8401</v>
      </c>
      <c r="B1384" s="52">
        <v>-0.04</v>
      </c>
      <c r="C1384" s="184">
        <v>0.72727272727272729</v>
      </c>
      <c r="D1384" s="181">
        <v>50000000</v>
      </c>
      <c r="E1384" s="26">
        <f>VLOOKUP(8401,季財報!$A:$H,8,0)</f>
        <v>0</v>
      </c>
      <c r="F1384" s="184">
        <v>1.1916666666666657E-3</v>
      </c>
      <c r="G1384" s="54">
        <v>600000000</v>
      </c>
      <c r="H1384" s="54">
        <v>1376871000</v>
      </c>
      <c r="I1384" s="66">
        <v>0.43577067132650771</v>
      </c>
      <c r="J1384" s="186">
        <v>0</v>
      </c>
    </row>
    <row r="1385" spans="1:11">
      <c r="A1385" s="65">
        <v>8403</v>
      </c>
      <c r="B1385" s="52">
        <v>0.64</v>
      </c>
      <c r="C1385" s="184">
        <v>1</v>
      </c>
      <c r="D1385" s="181">
        <v>60937500</v>
      </c>
      <c r="E1385" s="26">
        <f>VLOOKUP(8403,季財報!$A:$H,8,0)</f>
        <v>0</v>
      </c>
      <c r="F1385" s="184">
        <v>3.0358333333333331E-2</v>
      </c>
      <c r="G1385" s="54">
        <v>2973750000</v>
      </c>
      <c r="H1385" s="54">
        <v>2092431000</v>
      </c>
      <c r="I1385" s="66">
        <v>1.4211938171437912</v>
      </c>
      <c r="J1385" s="186">
        <v>19.0625</v>
      </c>
    </row>
    <row r="1386" spans="1:11">
      <c r="A1386" s="65">
        <v>8404</v>
      </c>
      <c r="B1386" s="52">
        <v>0.51</v>
      </c>
      <c r="C1386" s="184">
        <v>0.90196078431372551</v>
      </c>
      <c r="D1386" s="181">
        <v>223529411.76470587</v>
      </c>
      <c r="E1386" s="26">
        <f>VLOOKUP(8404,季財報!$A:$H,8,0)</f>
        <v>0</v>
      </c>
      <c r="F1386" s="184">
        <v>6.6174999999999998E-2</v>
      </c>
      <c r="G1386" s="54">
        <v>8494117647.0588226</v>
      </c>
      <c r="H1386" s="54">
        <v>3546571000</v>
      </c>
      <c r="I1386" s="66">
        <v>2.3950225857761827</v>
      </c>
      <c r="J1386" s="186">
        <v>20.652173913043477</v>
      </c>
    </row>
    <row r="1387" spans="1:11">
      <c r="A1387" s="65">
        <v>8406</v>
      </c>
      <c r="B1387" s="52">
        <v>4.38</v>
      </c>
      <c r="C1387" s="184">
        <v>1</v>
      </c>
      <c r="D1387" s="181">
        <v>92465753.424657539</v>
      </c>
      <c r="E1387" s="26">
        <f>VLOOKUP(8406,季財報!$A:$H,8,0)</f>
        <v>0</v>
      </c>
      <c r="F1387" s="184">
        <v>2.1549999999999996E-2</v>
      </c>
      <c r="G1387" s="54">
        <v>37217465753.42466</v>
      </c>
      <c r="H1387" s="54">
        <v>5977370000</v>
      </c>
      <c r="I1387" s="66">
        <v>6.2263948447937238</v>
      </c>
      <c r="J1387" s="186">
        <v>22.973744292237445</v>
      </c>
    </row>
    <row r="1388" spans="1:11">
      <c r="A1388" s="65">
        <v>8409</v>
      </c>
      <c r="B1388" s="52">
        <v>-0.39</v>
      </c>
      <c r="C1388" s="184">
        <v>1</v>
      </c>
      <c r="D1388" s="181">
        <v>28205128.205128204</v>
      </c>
      <c r="E1388" s="26">
        <f>VLOOKUP(8409,季財報!$A:$H,8,0)</f>
        <v>0</v>
      </c>
      <c r="F1388" s="184">
        <v>0.38276666666666664</v>
      </c>
      <c r="G1388" s="54">
        <v>888461538.46153843</v>
      </c>
      <c r="H1388" s="54">
        <v>272054000</v>
      </c>
      <c r="I1388" s="66">
        <v>3.2657543666387499</v>
      </c>
      <c r="J1388" s="186">
        <v>0</v>
      </c>
    </row>
    <row r="1389" spans="1:11">
      <c r="A1389" s="65">
        <v>8410</v>
      </c>
      <c r="B1389" s="52">
        <v>0.61</v>
      </c>
      <c r="C1389" s="184">
        <v>1</v>
      </c>
      <c r="D1389" s="181">
        <v>36065573.770491801</v>
      </c>
      <c r="E1389" s="26">
        <f>VLOOKUP(8410,季財報!$A:$H,8,0)</f>
        <v>0</v>
      </c>
      <c r="F1389" s="184">
        <v>3.1316666666666666E-2</v>
      </c>
      <c r="G1389" s="54">
        <v>768196721.3114754</v>
      </c>
      <c r="H1389" s="54">
        <v>698448000</v>
      </c>
      <c r="I1389" s="66">
        <v>1.099862439739931</v>
      </c>
      <c r="J1389" s="186">
        <v>8.7295081967213122</v>
      </c>
    </row>
    <row r="1390" spans="1:11">
      <c r="A1390" s="65">
        <v>8411</v>
      </c>
      <c r="B1390" s="52">
        <v>0.51</v>
      </c>
      <c r="C1390" s="184">
        <v>0.94230769230769229</v>
      </c>
      <c r="D1390" s="181">
        <v>152941176.47058824</v>
      </c>
      <c r="E1390" s="26">
        <f>VLOOKUP(8411,季財報!$A:$H,8,0)</f>
        <v>0</v>
      </c>
      <c r="F1390" s="184">
        <v>4.6724999999999996E-2</v>
      </c>
      <c r="G1390" s="54">
        <v>3930588235.2941175</v>
      </c>
      <c r="H1390" s="54">
        <v>6013863000</v>
      </c>
      <c r="I1390" s="66">
        <v>0.65358792431655288</v>
      </c>
      <c r="J1390" s="186">
        <v>13.369347739095637</v>
      </c>
    </row>
    <row r="1391" spans="1:11">
      <c r="A1391" s="65">
        <v>8416</v>
      </c>
      <c r="B1391" s="52">
        <v>0.99</v>
      </c>
      <c r="C1391" s="184">
        <v>0.97333333333333338</v>
      </c>
      <c r="D1391" s="181">
        <v>25252525.252525251</v>
      </c>
      <c r="E1391" s="26">
        <f>VLOOKUP(8416,季財報!$A:$H,8,0)</f>
        <v>0</v>
      </c>
      <c r="F1391" s="184">
        <v>5.6891666666666667E-2</v>
      </c>
      <c r="G1391" s="54">
        <v>2525252525.2525253</v>
      </c>
      <c r="H1391" s="54">
        <v>821257000</v>
      </c>
      <c r="I1391" s="66">
        <v>3.0748627107623134</v>
      </c>
      <c r="J1391" s="186">
        <v>25.944375259443753</v>
      </c>
    </row>
    <row r="1392" spans="1:11">
      <c r="A1392" s="65">
        <v>8418</v>
      </c>
      <c r="B1392" s="52">
        <v>-1.36</v>
      </c>
      <c r="C1392" s="184">
        <v>0</v>
      </c>
      <c r="D1392" s="181">
        <v>68382352.941176459</v>
      </c>
      <c r="E1392" s="26">
        <f>VLOOKUP(8418,季財報!$A:$H,8,0)</f>
        <v>0</v>
      </c>
      <c r="F1392" s="184">
        <v>1.7475000000000001E-2</v>
      </c>
      <c r="G1392" s="54">
        <v>1107794117.6470585</v>
      </c>
      <c r="H1392" s="54">
        <v>2330332000</v>
      </c>
      <c r="I1392" s="66">
        <v>0.47538038255796106</v>
      </c>
      <c r="J1392" s="186">
        <v>0</v>
      </c>
    </row>
    <row r="1393" spans="1:10">
      <c r="A1393" s="65">
        <v>8420</v>
      </c>
      <c r="B1393" s="52">
        <v>0.62</v>
      </c>
      <c r="C1393" s="184">
        <v>0.84848484848484851</v>
      </c>
      <c r="D1393" s="181">
        <v>50000000</v>
      </c>
      <c r="E1393" s="26">
        <f>VLOOKUP(8420,季財報!$A:$H,8,0)</f>
        <v>0</v>
      </c>
      <c r="F1393" s="184">
        <v>4.1933333333333329E-2</v>
      </c>
      <c r="G1393" s="54">
        <v>1152500000</v>
      </c>
      <c r="H1393" s="54">
        <v>1250252000</v>
      </c>
      <c r="I1393" s="66">
        <v>0.92181416226488744</v>
      </c>
      <c r="J1393" s="186">
        <v>10.954061059907833</v>
      </c>
    </row>
    <row r="1394" spans="1:10">
      <c r="A1394" s="65">
        <v>8421</v>
      </c>
      <c r="B1394" s="52">
        <v>0.4</v>
      </c>
      <c r="C1394" s="184">
        <v>0.78947368421052633</v>
      </c>
      <c r="D1394" s="181">
        <v>37500000</v>
      </c>
      <c r="E1394" s="26">
        <f>VLOOKUP(8421,季財報!$A:$H,8,0)</f>
        <v>0</v>
      </c>
      <c r="F1394" s="184">
        <v>3.2733333333333343E-2</v>
      </c>
      <c r="G1394" s="54">
        <v>476250000</v>
      </c>
      <c r="H1394" s="54">
        <v>1045568000</v>
      </c>
      <c r="I1394" s="66">
        <v>0.45549404725469794</v>
      </c>
      <c r="J1394" s="186">
        <v>10.054166666666665</v>
      </c>
    </row>
    <row r="1395" spans="1:10">
      <c r="A1395" s="65">
        <v>8422</v>
      </c>
      <c r="B1395" s="52">
        <v>2.99</v>
      </c>
      <c r="C1395" s="184">
        <v>0.96534653465346532</v>
      </c>
      <c r="D1395" s="181">
        <v>108695652.17391303</v>
      </c>
      <c r="E1395" s="26">
        <f>VLOOKUP(8422,季財報!$A:$H,8,0)</f>
        <v>0</v>
      </c>
      <c r="F1395" s="184">
        <v>4.7166666666666669E-2</v>
      </c>
      <c r="G1395" s="54">
        <v>19456521739.130432</v>
      </c>
      <c r="H1395" s="54">
        <v>2591407000</v>
      </c>
      <c r="I1395" s="66">
        <v>7.5080918354895356</v>
      </c>
      <c r="J1395" s="186">
        <v>15.503816139267643</v>
      </c>
    </row>
    <row r="1396" spans="1:10">
      <c r="A1396" s="65">
        <v>8423</v>
      </c>
      <c r="B1396" s="52">
        <v>0.55000000000000004</v>
      </c>
      <c r="C1396" s="184">
        <v>0.75</v>
      </c>
      <c r="D1396" s="181">
        <v>18181818.18181818</v>
      </c>
      <c r="E1396" s="26">
        <f>VLOOKUP(8423,季財報!$A:$H,8,0)</f>
        <v>0</v>
      </c>
      <c r="F1396" s="184">
        <v>6.3666666666666654E-3</v>
      </c>
      <c r="G1396" s="54">
        <v>443636363.63636357</v>
      </c>
      <c r="H1396" s="54">
        <v>284186000</v>
      </c>
      <c r="I1396" s="66">
        <v>1.5610774761471837</v>
      </c>
      <c r="J1396" s="186">
        <v>14.787878787878785</v>
      </c>
    </row>
    <row r="1397" spans="1:10">
      <c r="A1397" s="65">
        <v>8424</v>
      </c>
      <c r="B1397" s="52">
        <v>0.96</v>
      </c>
      <c r="C1397" s="184">
        <v>0.87323943661971826</v>
      </c>
      <c r="D1397" s="181">
        <v>36458333.333333336</v>
      </c>
      <c r="E1397" s="26">
        <f>VLOOKUP(8424,季財報!$A:$H,8,0)</f>
        <v>0</v>
      </c>
      <c r="F1397" s="184">
        <v>1.61E-2</v>
      </c>
      <c r="G1397" s="54">
        <v>1403645833.3333335</v>
      </c>
      <c r="H1397" s="54">
        <v>847744000</v>
      </c>
      <c r="I1397" s="66">
        <v>1.6557425748024563</v>
      </c>
      <c r="J1397" s="186">
        <v>11.481434811827958</v>
      </c>
    </row>
    <row r="1398" spans="1:10">
      <c r="A1398" s="65">
        <v>8426</v>
      </c>
      <c r="B1398" s="52">
        <v>0.88</v>
      </c>
      <c r="C1398" s="184">
        <v>0.9285714285714286</v>
      </c>
      <c r="D1398" s="181">
        <v>47727272.727272727</v>
      </c>
      <c r="E1398" s="26">
        <f>VLOOKUP(8426,季財報!$A:$H,8,0)</f>
        <v>0</v>
      </c>
      <c r="F1398" s="184">
        <v>1.0733333333333333E-2</v>
      </c>
      <c r="G1398" s="54">
        <v>1267159090.909091</v>
      </c>
      <c r="H1398" s="54">
        <v>1729939000</v>
      </c>
      <c r="I1398" s="66">
        <v>0.7324877298616258</v>
      </c>
      <c r="J1398" s="186">
        <v>8.122814685314685</v>
      </c>
    </row>
    <row r="1399" spans="1:10">
      <c r="A1399" s="65">
        <v>8427</v>
      </c>
      <c r="B1399" s="52">
        <v>-0.4</v>
      </c>
      <c r="C1399" s="184">
        <v>1</v>
      </c>
      <c r="D1399" s="181">
        <v>105000000</v>
      </c>
      <c r="E1399" s="26">
        <f>VLOOKUP(8427,季財報!$A:$H,8,0)</f>
        <v>0</v>
      </c>
      <c r="F1399" s="184">
        <v>0.75351666666666672</v>
      </c>
      <c r="G1399" s="54">
        <v>5911500000</v>
      </c>
      <c r="H1399" s="54">
        <v>6063819000</v>
      </c>
      <c r="I1399" s="66">
        <v>0.9748806816298442</v>
      </c>
      <c r="J1399" s="186">
        <v>0</v>
      </c>
    </row>
    <row r="1400" spans="1:10">
      <c r="A1400" s="65">
        <v>8429</v>
      </c>
      <c r="B1400" s="52">
        <v>1.78</v>
      </c>
      <c r="C1400" s="184">
        <v>1</v>
      </c>
      <c r="D1400" s="181">
        <v>129213483.14606741</v>
      </c>
      <c r="E1400" s="26">
        <f>VLOOKUP(8429,季財報!$A:$H,8,0)</f>
        <v>0</v>
      </c>
      <c r="F1400" s="184">
        <v>4.4350000000000007E-2</v>
      </c>
      <c r="G1400" s="54">
        <v>8980337078.6516857</v>
      </c>
      <c r="H1400" s="54">
        <v>5745938000</v>
      </c>
      <c r="I1400" s="66">
        <v>1.5629018410312965</v>
      </c>
      <c r="J1400" s="186">
        <v>9.7612359550561791</v>
      </c>
    </row>
    <row r="1401" spans="1:10">
      <c r="A1401" s="65">
        <v>8431</v>
      </c>
      <c r="B1401" s="52">
        <v>-0.99</v>
      </c>
      <c r="C1401" s="184">
        <v>1</v>
      </c>
      <c r="D1401" s="181">
        <v>41414141.414141417</v>
      </c>
      <c r="E1401" s="26">
        <f>VLOOKUP(8431,季財報!$A:$H,8,0)</f>
        <v>0</v>
      </c>
      <c r="F1401" s="184">
        <v>-3.1300000000000001E-2</v>
      </c>
      <c r="G1401" s="54">
        <v>2513838383.8383842</v>
      </c>
      <c r="H1401" s="54">
        <v>884274000</v>
      </c>
      <c r="I1401" s="66">
        <v>2.8428274311337711</v>
      </c>
      <c r="J1401" s="186">
        <v>0</v>
      </c>
    </row>
    <row r="1402" spans="1:10">
      <c r="A1402" s="65">
        <v>8432</v>
      </c>
      <c r="B1402" s="52">
        <v>0.35</v>
      </c>
      <c r="C1402" s="184">
        <v>0.82051282051282048</v>
      </c>
      <c r="D1402" s="181">
        <v>40000000</v>
      </c>
      <c r="E1402" s="26">
        <f>VLOOKUP(8432,季財報!$A:$H,8,0)</f>
        <v>0</v>
      </c>
      <c r="F1402" s="184">
        <v>6.5833333333333325E-3</v>
      </c>
      <c r="G1402" s="54">
        <v>2952000000</v>
      </c>
      <c r="H1402" s="54">
        <v>527713000</v>
      </c>
      <c r="I1402" s="66">
        <v>5.5939497416209187</v>
      </c>
      <c r="J1402" s="186">
        <v>50</v>
      </c>
    </row>
    <row r="1403" spans="1:10">
      <c r="A1403" s="65">
        <v>8433</v>
      </c>
      <c r="B1403" s="52">
        <v>2.15</v>
      </c>
      <c r="C1403" s="184">
        <v>0.83597883597883593</v>
      </c>
      <c r="D1403" s="181">
        <v>52558139.534883723</v>
      </c>
      <c r="E1403" s="26">
        <f>VLOOKUP(8433,季財報!$A:$H,8,0)</f>
        <v>0</v>
      </c>
      <c r="F1403" s="184">
        <v>3.625833333333333E-2</v>
      </c>
      <c r="G1403" s="54">
        <v>7620930232.5581398</v>
      </c>
      <c r="H1403" s="54">
        <v>2430566000</v>
      </c>
      <c r="I1403" s="66">
        <v>3.135454965040299</v>
      </c>
      <c r="J1403" s="186">
        <v>20.168531056814839</v>
      </c>
    </row>
    <row r="1404" spans="1:10">
      <c r="A1404" s="65">
        <v>8435</v>
      </c>
      <c r="B1404" s="52">
        <v>0.96</v>
      </c>
      <c r="C1404" s="184">
        <v>0.90740740740740744</v>
      </c>
      <c r="D1404" s="181">
        <v>31250000</v>
      </c>
      <c r="E1404" s="26">
        <f>VLOOKUP(8435,季財報!$A:$H,8,0)</f>
        <v>0</v>
      </c>
      <c r="F1404" s="184">
        <v>2.1533333333333324E-2</v>
      </c>
      <c r="G1404" s="54">
        <v>1478125000</v>
      </c>
      <c r="H1404" s="54">
        <v>641474000</v>
      </c>
      <c r="I1404" s="66">
        <v>2.3042633060732003</v>
      </c>
      <c r="J1404" s="186">
        <v>13.574617346938776</v>
      </c>
    </row>
    <row r="1405" spans="1:10">
      <c r="A1405" s="65">
        <v>8436</v>
      </c>
      <c r="B1405" s="52">
        <v>1.1299999999999999</v>
      </c>
      <c r="C1405" s="184">
        <v>0.76865671641791045</v>
      </c>
      <c r="D1405" s="181">
        <v>61061946.902654871</v>
      </c>
      <c r="E1405" s="26">
        <f>VLOOKUP(8436,季財報!$A:$H,8,0)</f>
        <v>0</v>
      </c>
      <c r="F1405" s="184">
        <v>4.9408333333333339E-2</v>
      </c>
      <c r="G1405" s="54">
        <v>6289380530.9734516</v>
      </c>
      <c r="H1405" s="54">
        <v>1946274000</v>
      </c>
      <c r="I1405" s="66">
        <v>3.231497996157505</v>
      </c>
      <c r="J1405" s="186">
        <v>29.646017699115049</v>
      </c>
    </row>
    <row r="1406" spans="1:10">
      <c r="A1406" s="65">
        <v>8437</v>
      </c>
      <c r="B1406" s="52">
        <v>2.63</v>
      </c>
      <c r="C1406" s="184">
        <v>0.88</v>
      </c>
      <c r="D1406" s="181">
        <v>32699619.771863118</v>
      </c>
      <c r="E1406" s="26">
        <f>VLOOKUP(8437,季財報!$A:$H,8,0)</f>
        <v>0</v>
      </c>
      <c r="F1406" s="184">
        <v>7.4516666666666662E-2</v>
      </c>
      <c r="G1406" s="54">
        <v>4676045627.3764257</v>
      </c>
      <c r="H1406" s="54">
        <v>583278000</v>
      </c>
      <c r="I1406" s="66">
        <v>8.0168386727708327</v>
      </c>
      <c r="J1406" s="186">
        <v>15.446768060836503</v>
      </c>
    </row>
    <row r="1407" spans="1:10">
      <c r="A1407" s="65">
        <v>8443</v>
      </c>
      <c r="B1407" s="52">
        <v>0.19</v>
      </c>
      <c r="C1407" s="184">
        <v>0.6333333333333333</v>
      </c>
      <c r="D1407" s="181">
        <v>68421052.631578952</v>
      </c>
      <c r="E1407" s="26">
        <f>VLOOKUP(8443,季財報!$A:$H,8,0)</f>
        <v>0</v>
      </c>
      <c r="F1407" s="184">
        <v>5.0200000000000002E-2</v>
      </c>
      <c r="G1407" s="54">
        <v>1604473684.2105265</v>
      </c>
      <c r="H1407" s="54">
        <v>2272586000</v>
      </c>
      <c r="I1407" s="66">
        <v>0.70601230677762095</v>
      </c>
      <c r="J1407" s="186">
        <v>48.71883656509695</v>
      </c>
    </row>
    <row r="1408" spans="1:10">
      <c r="A1408" s="65">
        <v>8444</v>
      </c>
      <c r="B1408" s="52">
        <v>0.81</v>
      </c>
      <c r="C1408" s="184">
        <v>1</v>
      </c>
      <c r="D1408" s="181">
        <v>66666666.666666664</v>
      </c>
      <c r="E1408" s="26">
        <f>VLOOKUP(8444,季財報!$A:$H,8,0)</f>
        <v>0</v>
      </c>
      <c r="F1408" s="184">
        <v>-1.1950000000000002E-2</v>
      </c>
      <c r="G1408" s="54">
        <v>4733333333.333333</v>
      </c>
      <c r="H1408" s="54">
        <v>2029947000</v>
      </c>
      <c r="I1408" s="66">
        <v>2.3317521754673067</v>
      </c>
      <c r="J1408" s="186">
        <v>21.913580246913579</v>
      </c>
    </row>
    <row r="1409" spans="1:10">
      <c r="A1409" s="65">
        <v>8446</v>
      </c>
      <c r="B1409" s="52">
        <v>1.46</v>
      </c>
      <c r="C1409" s="184">
        <v>0.839622641509434</v>
      </c>
      <c r="D1409" s="181">
        <v>42465753.424657539</v>
      </c>
      <c r="E1409" s="26">
        <f>VLOOKUP(8446,季財報!$A:$H,8,0)</f>
        <v>0</v>
      </c>
      <c r="F1409" s="184">
        <v>0.11145000000000001</v>
      </c>
      <c r="G1409" s="54">
        <v>4289041095.8904114</v>
      </c>
      <c r="H1409" s="54">
        <v>1022286000</v>
      </c>
      <c r="I1409" s="66">
        <v>4.1955393068969071</v>
      </c>
      <c r="J1409" s="186">
        <v>20.597968293058333</v>
      </c>
    </row>
    <row r="1410" spans="1:10">
      <c r="A1410" s="65">
        <v>8450</v>
      </c>
      <c r="B1410" s="52">
        <v>1.1399999999999999</v>
      </c>
      <c r="C1410" s="184">
        <v>0.7558139534883721</v>
      </c>
      <c r="D1410" s="181">
        <v>43859649.122807018</v>
      </c>
      <c r="E1410" s="26">
        <f>VLOOKUP(8450,季財報!$A:$H,8,0)</f>
        <v>0</v>
      </c>
      <c r="F1410" s="184">
        <v>1.9683333333333337E-2</v>
      </c>
      <c r="G1410" s="54">
        <v>3631578947.3684211</v>
      </c>
      <c r="H1410" s="54">
        <v>635453000</v>
      </c>
      <c r="I1410" s="66">
        <v>5.7149450035933755</v>
      </c>
      <c r="J1410" s="186">
        <v>24.02429149797571</v>
      </c>
    </row>
    <row r="1411" spans="1:10">
      <c r="A1411" s="65">
        <v>8454</v>
      </c>
      <c r="B1411" s="52">
        <v>1.82</v>
      </c>
      <c r="C1411" s="184">
        <v>0.80492424242424243</v>
      </c>
      <c r="D1411" s="181">
        <v>142307692.30769229</v>
      </c>
      <c r="E1411" s="26">
        <f>VLOOKUP(8454,季財報!$A:$H,8,0)</f>
        <v>0</v>
      </c>
      <c r="F1411" s="184">
        <v>6.0416666666666665E-3</v>
      </c>
      <c r="G1411" s="54">
        <v>31378846153.846149</v>
      </c>
      <c r="H1411" s="54">
        <v>25237505000</v>
      </c>
      <c r="I1411" s="66">
        <v>1.2433418499113185</v>
      </c>
      <c r="J1411" s="186">
        <v>37.628959276018094</v>
      </c>
    </row>
    <row r="1412" spans="1:10">
      <c r="A1412" s="65">
        <v>8463</v>
      </c>
      <c r="B1412" s="52">
        <v>0.26</v>
      </c>
      <c r="C1412" s="184">
        <v>0.96969696969696972</v>
      </c>
      <c r="D1412" s="181">
        <v>150000000</v>
      </c>
      <c r="E1412" s="26">
        <f>VLOOKUP(8463,季財報!$A:$H,8,0)</f>
        <v>0</v>
      </c>
      <c r="F1412" s="184">
        <v>-8.5083333333333313E-3</v>
      </c>
      <c r="G1412" s="54">
        <v>3675000000</v>
      </c>
      <c r="H1412" s="54">
        <v>3532618000</v>
      </c>
      <c r="I1412" s="66">
        <v>1.0403049523044949</v>
      </c>
      <c r="J1412" s="186">
        <v>24.29387019230769</v>
      </c>
    </row>
    <row r="1413" spans="1:10">
      <c r="A1413" s="65">
        <v>8905</v>
      </c>
      <c r="B1413" s="52">
        <v>0.38</v>
      </c>
      <c r="C1413" s="184">
        <v>0</v>
      </c>
      <c r="D1413" s="181">
        <v>110526315.78947368</v>
      </c>
      <c r="E1413" s="26">
        <f>VLOOKUP(8905,季財報!$A:$H,8,0)</f>
        <v>0</v>
      </c>
      <c r="F1413" s="184">
        <v>-5.7408333333333332E-2</v>
      </c>
      <c r="G1413" s="54">
        <v>1635789473.6842105</v>
      </c>
      <c r="H1413" s="54">
        <v>2812983000</v>
      </c>
      <c r="I1413" s="66">
        <v>0.58151416972097258</v>
      </c>
      <c r="J1413" s="186">
        <v>0</v>
      </c>
    </row>
    <row r="1414" spans="1:10">
      <c r="A1414" s="65">
        <v>8906</v>
      </c>
      <c r="B1414" s="52">
        <v>-0.02</v>
      </c>
      <c r="C1414" s="184">
        <v>1</v>
      </c>
      <c r="D1414" s="181">
        <v>50000000</v>
      </c>
      <c r="E1414" s="26">
        <f>VLOOKUP(8906,季財報!$A:$H,8,0)</f>
        <v>0</v>
      </c>
      <c r="F1414" s="184">
        <v>6.3124999999999987E-2</v>
      </c>
      <c r="G1414" s="54">
        <v>350500000</v>
      </c>
      <c r="H1414" s="54">
        <v>210133000</v>
      </c>
      <c r="I1414" s="66">
        <v>1.667991224605369</v>
      </c>
      <c r="J1414" s="186">
        <v>0</v>
      </c>
    </row>
    <row r="1415" spans="1:10">
      <c r="A1415" s="65">
        <v>8908</v>
      </c>
      <c r="B1415" s="52">
        <v>0.26</v>
      </c>
      <c r="C1415" s="184">
        <v>1</v>
      </c>
      <c r="D1415" s="181">
        <v>134615384.61538461</v>
      </c>
      <c r="E1415" s="26">
        <f>VLOOKUP(8908,季財報!$A:$H,8,0)</f>
        <v>0</v>
      </c>
      <c r="F1415" s="184">
        <v>3.3250000000000016E-3</v>
      </c>
      <c r="G1415" s="54">
        <v>5041346153.8461542</v>
      </c>
      <c r="H1415" s="54">
        <v>5453651000</v>
      </c>
      <c r="I1415" s="66">
        <v>0.92439838079960635</v>
      </c>
      <c r="J1415" s="186">
        <v>36.009615384615387</v>
      </c>
    </row>
    <row r="1416" spans="1:10">
      <c r="A1416" s="65">
        <v>8916</v>
      </c>
      <c r="B1416" s="52">
        <v>2.41</v>
      </c>
      <c r="C1416" s="184">
        <v>0.97662337662337662</v>
      </c>
      <c r="D1416" s="181">
        <v>105809128.63070539</v>
      </c>
      <c r="E1416" s="26">
        <f>VLOOKUP(8916,季財報!$A:$H,8,0)</f>
        <v>0</v>
      </c>
      <c r="F1416" s="184">
        <v>2.8725000000000001E-2</v>
      </c>
      <c r="G1416" s="54">
        <v>6295643153.5269709</v>
      </c>
      <c r="H1416" s="54">
        <v>8692162000</v>
      </c>
      <c r="I1416" s="66">
        <v>0.724289670800771</v>
      </c>
      <c r="J1416" s="186">
        <v>6.3199379800476736</v>
      </c>
    </row>
    <row r="1417" spans="1:10">
      <c r="A1417" s="65">
        <v>8917</v>
      </c>
      <c r="B1417" s="52">
        <v>0.34</v>
      </c>
      <c r="C1417" s="184">
        <v>0.91764705882352937</v>
      </c>
      <c r="D1417" s="181">
        <v>123529411.76470587</v>
      </c>
      <c r="E1417" s="26">
        <f>VLOOKUP(8917,季財報!$A:$H,8,0)</f>
        <v>0</v>
      </c>
      <c r="F1417" s="184">
        <v>-1.8024999999999999E-2</v>
      </c>
      <c r="G1417" s="54">
        <v>0</v>
      </c>
      <c r="H1417" s="54">
        <v>1705930000</v>
      </c>
      <c r="I1417" s="66">
        <v>0</v>
      </c>
      <c r="J1417" s="186">
        <v>0</v>
      </c>
    </row>
    <row r="1418" spans="1:10">
      <c r="A1418" s="65">
        <v>8921</v>
      </c>
      <c r="B1418" s="52">
        <v>0.24</v>
      </c>
      <c r="C1418" s="184">
        <v>0.7142857142857143</v>
      </c>
      <c r="D1418" s="181">
        <v>45833333.333333336</v>
      </c>
      <c r="E1418" s="26">
        <f>VLOOKUP(8921,季財報!$A:$H,8,0)</f>
        <v>0</v>
      </c>
      <c r="F1418" s="184">
        <v>-5.0750000000000005E-3</v>
      </c>
      <c r="G1418" s="54">
        <v>0</v>
      </c>
      <c r="H1418" s="54">
        <v>732698000</v>
      </c>
      <c r="I1418" s="66">
        <v>0</v>
      </c>
      <c r="J1418" s="186">
        <v>0</v>
      </c>
    </row>
    <row r="1419" spans="1:10">
      <c r="A1419" s="65">
        <v>8923</v>
      </c>
      <c r="B1419" s="52">
        <v>0.27</v>
      </c>
      <c r="C1419" s="184">
        <v>9.0909090909090912E-2</v>
      </c>
      <c r="D1419" s="181">
        <v>29629629.629629627</v>
      </c>
      <c r="E1419" s="26">
        <f>VLOOKUP(8923,季財報!$A:$H,8,0)</f>
        <v>0</v>
      </c>
      <c r="F1419" s="184">
        <v>3.008333333333334E-2</v>
      </c>
      <c r="G1419" s="54">
        <v>0</v>
      </c>
      <c r="H1419" s="54">
        <v>400543000</v>
      </c>
      <c r="I1419" s="66">
        <v>0</v>
      </c>
      <c r="J1419" s="186">
        <v>0</v>
      </c>
    </row>
    <row r="1420" spans="1:10">
      <c r="A1420" s="65">
        <v>8924</v>
      </c>
      <c r="B1420" s="52">
        <v>-0.09</v>
      </c>
      <c r="C1420" s="184">
        <v>1</v>
      </c>
      <c r="D1420" s="181">
        <v>122222222.22222222</v>
      </c>
      <c r="E1420" s="26">
        <f>VLOOKUP(8924,季財報!$A:$H,8,0)</f>
        <v>0</v>
      </c>
      <c r="F1420" s="184">
        <v>2.7641666666666675E-2</v>
      </c>
      <c r="G1420" s="54">
        <v>2322222222.2222223</v>
      </c>
      <c r="H1420" s="54">
        <v>4438681000</v>
      </c>
      <c r="I1420" s="66">
        <v>0.52317844472766173</v>
      </c>
      <c r="J1420" s="186">
        <v>0</v>
      </c>
    </row>
    <row r="1421" spans="1:10">
      <c r="A1421" s="65">
        <v>8925</v>
      </c>
      <c r="B1421" s="52">
        <v>-0.9</v>
      </c>
      <c r="C1421" s="184">
        <v>9.6907993966817499E-2</v>
      </c>
      <c r="D1421" s="181">
        <v>364444444.44444442</v>
      </c>
      <c r="E1421" s="26">
        <f>VLOOKUP(8925,季財報!$A:$H,8,0)</f>
        <v>0</v>
      </c>
      <c r="F1421" s="184">
        <v>2.9899999999999999E-2</v>
      </c>
      <c r="G1421" s="54">
        <v>0</v>
      </c>
      <c r="H1421" s="54">
        <v>1806236000</v>
      </c>
      <c r="I1421" s="66">
        <v>0</v>
      </c>
      <c r="J1421" s="186">
        <v>0</v>
      </c>
    </row>
    <row r="1422" spans="1:10">
      <c r="A1422" s="65">
        <v>8926</v>
      </c>
      <c r="B1422" s="52">
        <v>0.56999999999999995</v>
      </c>
      <c r="C1422" s="184">
        <v>7.4850299401197598E-2</v>
      </c>
      <c r="D1422" s="181">
        <v>592982456.14035094</v>
      </c>
      <c r="E1422" s="26">
        <f>VLOOKUP(8926,季財報!$A:$H,8,0)</f>
        <v>0</v>
      </c>
      <c r="F1422" s="184">
        <v>0.104225</v>
      </c>
      <c r="G1422" s="54">
        <v>13668245614.035089</v>
      </c>
      <c r="H1422" s="54">
        <v>1626826000</v>
      </c>
      <c r="I1422" s="66">
        <v>8.4017870467001945</v>
      </c>
      <c r="J1422" s="186">
        <v>50</v>
      </c>
    </row>
    <row r="1423" spans="1:10">
      <c r="A1423" s="65">
        <v>8927</v>
      </c>
      <c r="B1423" s="52">
        <v>-0.15</v>
      </c>
      <c r="C1423" s="184">
        <v>0</v>
      </c>
      <c r="D1423" s="181">
        <v>0</v>
      </c>
      <c r="E1423" s="26">
        <f>VLOOKUP(8927,季財報!$A:$H,8,0)</f>
        <v>0</v>
      </c>
      <c r="F1423" s="184">
        <v>4.0999999999999995E-3</v>
      </c>
      <c r="G1423" s="54">
        <v>0</v>
      </c>
      <c r="H1423" s="54">
        <v>3340658000</v>
      </c>
      <c r="I1423" s="66">
        <v>0</v>
      </c>
      <c r="J1423" s="186">
        <v>0</v>
      </c>
    </row>
    <row r="1424" spans="1:10">
      <c r="A1424" s="65">
        <v>8928</v>
      </c>
      <c r="B1424" s="52">
        <v>0.17</v>
      </c>
      <c r="C1424" s="184">
        <v>0.53333333333333333</v>
      </c>
      <c r="D1424" s="181">
        <v>52941176.47058823</v>
      </c>
      <c r="E1424" s="26">
        <f>VLOOKUP(8928,季財報!$A:$H,8,0)</f>
        <v>0</v>
      </c>
      <c r="F1424" s="184">
        <v>7.2458333333333347E-2</v>
      </c>
      <c r="G1424" s="54">
        <v>2175882352.9411764</v>
      </c>
      <c r="H1424" s="54">
        <v>2104249000</v>
      </c>
      <c r="I1424" s="66">
        <v>1.0340422416459156</v>
      </c>
      <c r="J1424" s="186">
        <v>50</v>
      </c>
    </row>
    <row r="1425" spans="1:10">
      <c r="A1425" s="65">
        <v>8929</v>
      </c>
      <c r="B1425" s="52">
        <v>0.17</v>
      </c>
      <c r="C1425" s="184">
        <v>1</v>
      </c>
      <c r="D1425" s="181">
        <v>35294117.647058822</v>
      </c>
      <c r="E1425" s="26">
        <f>VLOOKUP(8929,季財報!$A:$H,8,0)</f>
        <v>0</v>
      </c>
      <c r="F1425" s="184">
        <v>3.6466666666666675E-2</v>
      </c>
      <c r="G1425" s="54">
        <v>822352941.17647064</v>
      </c>
      <c r="H1425" s="54">
        <v>1339928000</v>
      </c>
      <c r="I1425" s="66">
        <v>0.61372920125295582</v>
      </c>
      <c r="J1425" s="186">
        <v>34.264705882352942</v>
      </c>
    </row>
    <row r="1426" spans="1:10">
      <c r="A1426" s="65">
        <v>8930</v>
      </c>
      <c r="B1426" s="52">
        <v>-0.19</v>
      </c>
      <c r="C1426" s="184">
        <v>0.93333333333333335</v>
      </c>
      <c r="D1426" s="181">
        <v>68421052.631578952</v>
      </c>
      <c r="E1426" s="26">
        <f>VLOOKUP(8930,季財報!$A:$H,8,0)</f>
        <v>0</v>
      </c>
      <c r="F1426" s="184">
        <v>2.1541666666666667E-2</v>
      </c>
      <c r="G1426" s="54">
        <v>618526315.78947365</v>
      </c>
      <c r="H1426" s="54">
        <v>1121306000</v>
      </c>
      <c r="I1426" s="66">
        <v>0.55161241961558549</v>
      </c>
      <c r="J1426" s="186">
        <v>0</v>
      </c>
    </row>
    <row r="1427" spans="1:10">
      <c r="A1427" s="65">
        <v>8931</v>
      </c>
      <c r="B1427" s="52">
        <v>0.3</v>
      </c>
      <c r="C1427" s="184">
        <v>1</v>
      </c>
      <c r="D1427" s="181">
        <v>113333333.33333334</v>
      </c>
      <c r="E1427" s="26">
        <f>VLOOKUP(8931,季財報!$A:$H,8,0)</f>
        <v>0</v>
      </c>
      <c r="F1427" s="184">
        <v>1.4750000000000017E-3</v>
      </c>
      <c r="G1427" s="54">
        <v>2306333333.3333335</v>
      </c>
      <c r="H1427" s="54">
        <v>1355655000</v>
      </c>
      <c r="I1427" s="66">
        <v>1.7012686364401957</v>
      </c>
      <c r="J1427" s="186">
        <v>16.958333333333336</v>
      </c>
    </row>
    <row r="1428" spans="1:10">
      <c r="A1428" s="65">
        <v>8932</v>
      </c>
      <c r="B1428" s="52">
        <v>0.33</v>
      </c>
      <c r="C1428" s="184">
        <v>1</v>
      </c>
      <c r="D1428" s="181">
        <v>48484848.484848484</v>
      </c>
      <c r="E1428" s="26">
        <f>VLOOKUP(8932,季財報!$A:$H,8,0)</f>
        <v>0</v>
      </c>
      <c r="F1428" s="184">
        <v>8.7449999999999986E-2</v>
      </c>
      <c r="G1428" s="54">
        <v>455757575.75757575</v>
      </c>
      <c r="H1428" s="54">
        <v>1192101000</v>
      </c>
      <c r="I1428" s="66">
        <v>0.38231456542488912</v>
      </c>
      <c r="J1428" s="186">
        <v>7.1212121212121211</v>
      </c>
    </row>
    <row r="1429" spans="1:10">
      <c r="A1429" s="65">
        <v>8933</v>
      </c>
      <c r="B1429" s="52">
        <v>0.8</v>
      </c>
      <c r="C1429" s="184">
        <v>0.44736842105263158</v>
      </c>
      <c r="D1429" s="181">
        <v>148750000</v>
      </c>
      <c r="E1429" s="26">
        <f>VLOOKUP(8933,季財報!$A:$H,8,0)</f>
        <v>0</v>
      </c>
      <c r="F1429" s="184">
        <v>7.9450000000000007E-2</v>
      </c>
      <c r="G1429" s="54">
        <v>2640312500</v>
      </c>
      <c r="H1429" s="54">
        <v>6186670000</v>
      </c>
      <c r="I1429" s="66">
        <v>0.4267744198413686</v>
      </c>
      <c r="J1429" s="186">
        <v>12.398897058823529</v>
      </c>
    </row>
    <row r="1430" spans="1:10">
      <c r="A1430" s="65">
        <v>8934</v>
      </c>
      <c r="B1430" s="52">
        <v>-0.42</v>
      </c>
      <c r="C1430" s="184">
        <v>1</v>
      </c>
      <c r="D1430" s="181">
        <v>7142857.1428571427</v>
      </c>
      <c r="E1430" s="26">
        <f>VLOOKUP(8934,季財報!$A:$H,8,0)</f>
        <v>0</v>
      </c>
      <c r="F1430" s="184">
        <v>2.9424999999999996E-2</v>
      </c>
      <c r="G1430" s="54">
        <v>0</v>
      </c>
      <c r="H1430" s="54">
        <v>681555000</v>
      </c>
      <c r="I1430" s="66">
        <v>0</v>
      </c>
      <c r="J1430" s="186">
        <v>0</v>
      </c>
    </row>
    <row r="1431" spans="1:10">
      <c r="A1431" s="65">
        <v>8935</v>
      </c>
      <c r="B1431" s="52">
        <v>-0.18</v>
      </c>
      <c r="C1431" s="184">
        <v>0.76923076923076927</v>
      </c>
      <c r="D1431" s="181">
        <v>122222222.22222222</v>
      </c>
      <c r="E1431" s="26">
        <f>VLOOKUP(8935,季財報!$A:$H,8,0)</f>
        <v>0</v>
      </c>
      <c r="F1431" s="184">
        <v>5.1833333333333306E-3</v>
      </c>
      <c r="G1431" s="54">
        <v>754111111.11111116</v>
      </c>
      <c r="H1431" s="54">
        <v>758194000</v>
      </c>
      <c r="I1431" s="66">
        <v>0.99461498127274972</v>
      </c>
      <c r="J1431" s="186">
        <v>0</v>
      </c>
    </row>
    <row r="1432" spans="1:10">
      <c r="A1432" s="65">
        <v>8936</v>
      </c>
      <c r="B1432" s="52">
        <v>0.63</v>
      </c>
      <c r="C1432" s="184">
        <v>1</v>
      </c>
      <c r="D1432" s="181">
        <v>187301587.30158731</v>
      </c>
      <c r="E1432" s="26">
        <f>VLOOKUP(8936,季財報!$A:$H,8,0)</f>
        <v>0</v>
      </c>
      <c r="F1432" s="184">
        <v>-2.4275000000000001E-2</v>
      </c>
      <c r="G1432" s="54">
        <v>7267301587.3015871</v>
      </c>
      <c r="H1432" s="54">
        <v>4547656000</v>
      </c>
      <c r="I1432" s="66">
        <v>1.5980323901591473</v>
      </c>
      <c r="J1432" s="186">
        <v>15.396825396825395</v>
      </c>
    </row>
    <row r="1433" spans="1:10">
      <c r="A1433" s="65">
        <v>8937</v>
      </c>
      <c r="B1433" s="52">
        <v>0.41</v>
      </c>
      <c r="C1433" s="184">
        <v>0</v>
      </c>
      <c r="D1433" s="181">
        <v>70731707.317073181</v>
      </c>
      <c r="E1433" s="26">
        <f>VLOOKUP(8937,季財報!$A:$H,8,0)</f>
        <v>0</v>
      </c>
      <c r="F1433" s="184">
        <v>0.11523333333333335</v>
      </c>
      <c r="G1433" s="54">
        <v>877073170.73170745</v>
      </c>
      <c r="H1433" s="54">
        <v>421251000</v>
      </c>
      <c r="I1433" s="66">
        <v>2.0820678662643113</v>
      </c>
      <c r="J1433" s="186">
        <v>0</v>
      </c>
    </row>
    <row r="1434" spans="1:10">
      <c r="A1434" s="65">
        <v>8938</v>
      </c>
      <c r="B1434" s="52">
        <v>0.02</v>
      </c>
      <c r="C1434" s="184">
        <v>1</v>
      </c>
      <c r="D1434" s="181">
        <v>150000000</v>
      </c>
      <c r="E1434" s="26">
        <f>VLOOKUP(8938,季財報!$A:$H,8,0)</f>
        <v>0</v>
      </c>
      <c r="F1434" s="184">
        <v>3.7258333333333331E-2</v>
      </c>
      <c r="G1434" s="54">
        <v>3052500000</v>
      </c>
      <c r="H1434" s="54">
        <v>8711876000</v>
      </c>
      <c r="I1434" s="66">
        <v>0.35038377497567685</v>
      </c>
      <c r="J1434" s="186">
        <v>50</v>
      </c>
    </row>
    <row r="1435" spans="1:10">
      <c r="A1435" s="65">
        <v>8940</v>
      </c>
      <c r="B1435" s="52">
        <v>-1.19</v>
      </c>
      <c r="C1435" s="184">
        <v>1</v>
      </c>
      <c r="D1435" s="181">
        <v>68067226.890756309</v>
      </c>
      <c r="E1435" s="26">
        <f>VLOOKUP(8940,季財報!$A:$H,8,0)</f>
        <v>0</v>
      </c>
      <c r="F1435" s="184">
        <v>0.16168333333333332</v>
      </c>
      <c r="G1435" s="54">
        <v>1068655462.1848741</v>
      </c>
      <c r="H1435" s="54">
        <v>1651732000</v>
      </c>
      <c r="I1435" s="66">
        <v>0.64699083276516656</v>
      </c>
      <c r="J1435" s="186">
        <v>0</v>
      </c>
    </row>
    <row r="1436" spans="1:10">
      <c r="A1436" s="65">
        <v>8941</v>
      </c>
      <c r="B1436" s="52">
        <v>2.82</v>
      </c>
      <c r="C1436" s="184">
        <v>0.64406779661016944</v>
      </c>
      <c r="D1436" s="181">
        <v>21276595.744680852</v>
      </c>
      <c r="E1436" s="26">
        <f>VLOOKUP(8941,季財報!$A:$H,8,0)</f>
        <v>0</v>
      </c>
      <c r="F1436" s="184">
        <v>1.2958333333333329E-2</v>
      </c>
      <c r="G1436" s="54">
        <v>1936170212.7659576</v>
      </c>
      <c r="H1436" s="54">
        <v>2472537000</v>
      </c>
      <c r="I1436" s="66">
        <v>0.78307026862124107</v>
      </c>
      <c r="J1436" s="186">
        <v>12.525662560656963</v>
      </c>
    </row>
    <row r="1437" spans="1:10">
      <c r="A1437" s="65">
        <v>8942</v>
      </c>
      <c r="B1437" s="52">
        <v>2.4700000000000002</v>
      </c>
      <c r="C1437" s="184">
        <v>0.70336391437308865</v>
      </c>
      <c r="D1437" s="181">
        <v>154655870.44534412</v>
      </c>
      <c r="E1437" s="26">
        <f>VLOOKUP(8942,季財報!$A:$H,8,0)</f>
        <v>0</v>
      </c>
      <c r="F1437" s="184">
        <v>5.3149999999999996E-2</v>
      </c>
      <c r="G1437" s="54">
        <v>14259271255.060728</v>
      </c>
      <c r="H1437" s="54">
        <v>4848581000</v>
      </c>
      <c r="I1437" s="66">
        <v>2.940916374308427</v>
      </c>
      <c r="J1437" s="186">
        <v>13.267646541101918</v>
      </c>
    </row>
    <row r="1438" spans="1:10">
      <c r="A1438" s="65">
        <v>8996</v>
      </c>
      <c r="B1438" s="52">
        <v>0.31</v>
      </c>
      <c r="C1438" s="184">
        <v>0.55813953488372092</v>
      </c>
      <c r="D1438" s="181">
        <v>90322580.645161286</v>
      </c>
      <c r="E1438" s="26">
        <f>VLOOKUP(8996,季財報!$A:$H,8,0)</f>
        <v>0</v>
      </c>
      <c r="F1438" s="184">
        <v>1.3258333333333336E-2</v>
      </c>
      <c r="G1438" s="54">
        <v>3856774193.5483871</v>
      </c>
      <c r="H1438" s="54">
        <v>2094677000</v>
      </c>
      <c r="I1438" s="66">
        <v>1.841226209839697</v>
      </c>
      <c r="J1438" s="186">
        <v>50</v>
      </c>
    </row>
    <row r="1439" spans="1:10">
      <c r="A1439" s="65">
        <v>9802</v>
      </c>
      <c r="B1439" s="52">
        <v>0.43</v>
      </c>
      <c r="C1439" s="184">
        <v>1</v>
      </c>
      <c r="D1439" s="181">
        <v>130232558.13953489</v>
      </c>
      <c r="E1439" s="26">
        <f>VLOOKUP(9802,季財報!$A:$H,8,0)</f>
        <v>0</v>
      </c>
      <c r="F1439" s="184">
        <v>2.6916666666666662E-2</v>
      </c>
      <c r="G1439" s="54">
        <v>6837209302.3255816</v>
      </c>
      <c r="H1439" s="54">
        <v>9162276000</v>
      </c>
      <c r="I1439" s="66">
        <v>0.74623481134224523</v>
      </c>
      <c r="J1439" s="186">
        <v>30.52325581395349</v>
      </c>
    </row>
    <row r="1440" spans="1:10">
      <c r="A1440" s="65">
        <v>9902</v>
      </c>
      <c r="B1440" s="52">
        <v>0.22</v>
      </c>
      <c r="C1440" s="184">
        <v>0</v>
      </c>
      <c r="D1440" s="181">
        <v>100000000</v>
      </c>
      <c r="E1440" s="26">
        <f>VLOOKUP(9902,季財報!$A:$H,8,0)</f>
        <v>0</v>
      </c>
      <c r="F1440" s="184">
        <v>0.41501666666666664</v>
      </c>
      <c r="G1440" s="54">
        <v>1010000000</v>
      </c>
      <c r="H1440" s="54">
        <v>136050000</v>
      </c>
      <c r="I1440" s="66">
        <v>7.4237412715913269</v>
      </c>
      <c r="J1440" s="186">
        <v>0</v>
      </c>
    </row>
    <row r="1441" spans="1:10">
      <c r="A1441" s="65">
        <v>9904</v>
      </c>
      <c r="B1441" s="52">
        <v>1.21</v>
      </c>
      <c r="C1441" s="184">
        <v>0.11553848615778524</v>
      </c>
      <c r="D1441" s="181">
        <v>2947107438.0165291</v>
      </c>
      <c r="E1441" s="26">
        <f>VLOOKUP(9904,季財報!$A:$H,8,0)</f>
        <v>0</v>
      </c>
      <c r="F1441" s="184">
        <v>1.5908333333333333E-2</v>
      </c>
      <c r="G1441" s="54">
        <v>136893140495.86778</v>
      </c>
      <c r="H1441" s="54">
        <v>266298899000</v>
      </c>
      <c r="I1441" s="66">
        <v>0.51405822934276491</v>
      </c>
      <c r="J1441" s="186">
        <v>50</v>
      </c>
    </row>
    <row r="1442" spans="1:10">
      <c r="A1442" s="65">
        <v>9905</v>
      </c>
      <c r="B1442" s="52">
        <v>0.81</v>
      </c>
      <c r="C1442" s="184">
        <v>0.88801571709233795</v>
      </c>
      <c r="D1442" s="181">
        <v>307407407.4074074</v>
      </c>
      <c r="E1442" s="26">
        <f>VLOOKUP(9905,季財報!$A:$H,8,0)</f>
        <v>0</v>
      </c>
      <c r="F1442" s="184">
        <v>1.4916666666666759E-3</v>
      </c>
      <c r="G1442" s="54">
        <v>8899444444.4444447</v>
      </c>
      <c r="H1442" s="54">
        <v>8018521000</v>
      </c>
      <c r="I1442" s="66">
        <v>1.109861088403266</v>
      </c>
      <c r="J1442" s="186">
        <v>10.061967387741722</v>
      </c>
    </row>
    <row r="1443" spans="1:10">
      <c r="A1443" s="65">
        <v>9907</v>
      </c>
      <c r="B1443" s="52">
        <v>0.09</v>
      </c>
      <c r="C1443" s="184">
        <v>1</v>
      </c>
      <c r="D1443" s="181">
        <v>1600000000</v>
      </c>
      <c r="E1443" s="26">
        <f>VLOOKUP(9907,季財報!$A:$H,8,0)</f>
        <v>0</v>
      </c>
      <c r="F1443" s="184">
        <v>8.4333333333333343E-3</v>
      </c>
      <c r="G1443" s="54">
        <v>24320000000</v>
      </c>
      <c r="H1443" s="54">
        <v>36756243000</v>
      </c>
      <c r="I1443" s="66">
        <v>0.6616563069299547</v>
      </c>
      <c r="J1443" s="186">
        <v>42.222222222222221</v>
      </c>
    </row>
    <row r="1444" spans="1:10">
      <c r="A1444" s="65">
        <v>9908</v>
      </c>
      <c r="B1444" s="52">
        <v>0.49</v>
      </c>
      <c r="C1444" s="184">
        <v>0.45121951219512196</v>
      </c>
      <c r="D1444" s="181">
        <v>502040816.32653064</v>
      </c>
      <c r="E1444" s="26">
        <f>VLOOKUP(9908,季財報!$A:$H,8,0)</f>
        <v>0</v>
      </c>
      <c r="F1444" s="184">
        <v>-2.2749999999999992E-2</v>
      </c>
      <c r="G1444" s="54">
        <v>11095102040.816328</v>
      </c>
      <c r="H1444" s="54">
        <v>4484240000</v>
      </c>
      <c r="I1444" s="66">
        <v>2.4742435821491107</v>
      </c>
      <c r="J1444" s="186">
        <v>24.988968560397133</v>
      </c>
    </row>
    <row r="1445" spans="1:10">
      <c r="A1445" s="65">
        <v>9910</v>
      </c>
      <c r="B1445" s="52">
        <v>2.1</v>
      </c>
      <c r="C1445" s="184">
        <v>0.8</v>
      </c>
      <c r="D1445" s="181">
        <v>597142857.14285707</v>
      </c>
      <c r="E1445" s="26">
        <f>VLOOKUP(9910,季財報!$A:$H,8,0)</f>
        <v>0</v>
      </c>
      <c r="F1445" s="184">
        <v>2.0524999999999998E-2</v>
      </c>
      <c r="G1445" s="54">
        <v>111068571428.57141</v>
      </c>
      <c r="H1445" s="54">
        <v>54582685000</v>
      </c>
      <c r="I1445" s="66">
        <v>2.034868226591847</v>
      </c>
      <c r="J1445" s="186">
        <v>27.678571428571427</v>
      </c>
    </row>
    <row r="1446" spans="1:10">
      <c r="A1446" s="65">
        <v>9911</v>
      </c>
      <c r="B1446" s="52">
        <v>0.55000000000000004</v>
      </c>
      <c r="C1446" s="184">
        <v>0.80382775119617222</v>
      </c>
      <c r="D1446" s="181">
        <v>270909090.90909088</v>
      </c>
      <c r="E1446" s="26">
        <f>VLOOKUP(9911,季財報!$A:$H,8,0)</f>
        <v>0</v>
      </c>
      <c r="F1446" s="184">
        <v>1.9450000000000005E-2</v>
      </c>
      <c r="G1446" s="54">
        <v>4930545454.545454</v>
      </c>
      <c r="H1446" s="54">
        <v>5040243000</v>
      </c>
      <c r="I1446" s="66">
        <v>0.97823566334905954</v>
      </c>
      <c r="J1446" s="186">
        <v>10.291666666666666</v>
      </c>
    </row>
    <row r="1447" spans="1:10">
      <c r="A1447" s="65">
        <v>9912</v>
      </c>
      <c r="B1447" s="52">
        <v>-0.2</v>
      </c>
      <c r="C1447" s="184">
        <v>1</v>
      </c>
      <c r="D1447" s="181">
        <v>50000000</v>
      </c>
      <c r="E1447" s="26">
        <f>VLOOKUP(9912,季財報!$A:$H,8,0)</f>
        <v>0</v>
      </c>
      <c r="F1447" s="184">
        <v>1.9791666666666669E-2</v>
      </c>
      <c r="G1447" s="54">
        <v>461000000.00000006</v>
      </c>
      <c r="H1447" s="54">
        <v>681814000</v>
      </c>
      <c r="I1447" s="66">
        <v>0.6761374803098793</v>
      </c>
      <c r="J1447" s="186">
        <v>0</v>
      </c>
    </row>
    <row r="1448" spans="1:10">
      <c r="A1448" s="65">
        <v>9914</v>
      </c>
      <c r="B1448" s="52">
        <v>3.72</v>
      </c>
      <c r="C1448" s="184">
        <v>0.66097704532077695</v>
      </c>
      <c r="D1448" s="181">
        <v>299193548.38709676</v>
      </c>
      <c r="E1448" s="26">
        <f>VLOOKUP(9914,季財報!$A:$H,8,0)</f>
        <v>0</v>
      </c>
      <c r="F1448" s="184">
        <v>1.2449999999999998E-2</v>
      </c>
      <c r="G1448" s="54">
        <v>55500403225.80645</v>
      </c>
      <c r="H1448" s="54">
        <v>28630513000</v>
      </c>
      <c r="I1448" s="66">
        <v>1.9385053710286801</v>
      </c>
      <c r="J1448" s="186">
        <v>18.860560949453745</v>
      </c>
    </row>
    <row r="1449" spans="1:10">
      <c r="A1449" s="65">
        <v>9917</v>
      </c>
      <c r="B1449" s="52">
        <v>1.22</v>
      </c>
      <c r="C1449" s="184">
        <v>0.87939221272554602</v>
      </c>
      <c r="D1449" s="181">
        <v>440983606.55737704</v>
      </c>
      <c r="E1449" s="26">
        <f>VLOOKUP(9917,季財報!$A:$H,8,0)</f>
        <v>0</v>
      </c>
      <c r="F1449" s="184">
        <v>2.3666666666666684E-3</v>
      </c>
      <c r="G1449" s="54">
        <v>43613278688.52459</v>
      </c>
      <c r="H1449" s="54">
        <v>13363345000</v>
      </c>
      <c r="I1449" s="66">
        <v>3.2636498338196454</v>
      </c>
      <c r="J1449" s="186">
        <v>23.045909605920052</v>
      </c>
    </row>
    <row r="1450" spans="1:10">
      <c r="A1450" s="65">
        <v>9918</v>
      </c>
      <c r="B1450" s="52">
        <v>0.06</v>
      </c>
      <c r="C1450" s="184">
        <v>0.59183673469387754</v>
      </c>
      <c r="D1450" s="181">
        <v>183333333.33333334</v>
      </c>
      <c r="E1450" s="26">
        <f>VLOOKUP(9918,季財報!$A:$H,8,0)</f>
        <v>0</v>
      </c>
      <c r="F1450" s="184">
        <v>-8.783333333333334E-3</v>
      </c>
      <c r="G1450" s="54">
        <v>5683333333.333334</v>
      </c>
      <c r="H1450" s="54">
        <v>2273851000</v>
      </c>
      <c r="I1450" s="66">
        <v>2.4994308480781431</v>
      </c>
      <c r="J1450" s="186">
        <v>50</v>
      </c>
    </row>
    <row r="1451" spans="1:10">
      <c r="A1451" s="65">
        <v>9919</v>
      </c>
      <c r="B1451" s="52">
        <v>0.03</v>
      </c>
      <c r="C1451" s="184">
        <v>1</v>
      </c>
      <c r="D1451" s="181">
        <v>200000000</v>
      </c>
      <c r="E1451" s="26">
        <f>VLOOKUP(9919,季財報!$A:$H,8,0)</f>
        <v>0</v>
      </c>
      <c r="F1451" s="184">
        <v>8.8083333333333347E-3</v>
      </c>
      <c r="G1451" s="54">
        <v>2370000000</v>
      </c>
      <c r="H1451" s="54">
        <v>4269777000</v>
      </c>
      <c r="I1451" s="66">
        <v>0.55506411693163371</v>
      </c>
      <c r="J1451" s="186">
        <v>50</v>
      </c>
    </row>
    <row r="1452" spans="1:10">
      <c r="A1452" s="65">
        <v>9921</v>
      </c>
      <c r="B1452" s="52">
        <v>3.24</v>
      </c>
      <c r="C1452" s="184">
        <v>0.89853658536585368</v>
      </c>
      <c r="D1452" s="181">
        <v>374691358.02469134</v>
      </c>
      <c r="E1452" s="26">
        <f>VLOOKUP(9921,季財報!$A:$H,8,0)</f>
        <v>0</v>
      </c>
      <c r="F1452" s="184">
        <v>9.8249999999999987E-3</v>
      </c>
      <c r="G1452" s="54">
        <v>85054938271.604935</v>
      </c>
      <c r="H1452" s="54">
        <v>61254710000</v>
      </c>
      <c r="I1452" s="66">
        <v>1.3885452771159137</v>
      </c>
      <c r="J1452" s="186">
        <v>19.4932876234903</v>
      </c>
    </row>
    <row r="1453" spans="1:10">
      <c r="A1453" s="65">
        <v>9924</v>
      </c>
      <c r="B1453" s="52">
        <v>1.44</v>
      </c>
      <c r="C1453" s="184">
        <v>0.63982102908277405</v>
      </c>
      <c r="D1453" s="181">
        <v>188194444.44444445</v>
      </c>
      <c r="E1453" s="26">
        <f>VLOOKUP(9924,季財報!$A:$H,8,0)</f>
        <v>0</v>
      </c>
      <c r="F1453" s="184">
        <v>1.3908333333333333E-2</v>
      </c>
      <c r="G1453" s="54">
        <v>9259166666.6666679</v>
      </c>
      <c r="H1453" s="54">
        <v>7906523000</v>
      </c>
      <c r="I1453" s="66">
        <v>1.1710794576410728</v>
      </c>
      <c r="J1453" s="186">
        <v>13.350087412587413</v>
      </c>
    </row>
    <row r="1454" spans="1:10">
      <c r="A1454" s="65">
        <v>9925</v>
      </c>
      <c r="B1454" s="52">
        <v>0.87</v>
      </c>
      <c r="C1454" s="184">
        <v>0.53893129770992365</v>
      </c>
      <c r="D1454" s="181">
        <v>379310344.82758623</v>
      </c>
      <c r="E1454" s="26">
        <f>VLOOKUP(9925,季財報!$A:$H,8,0)</f>
        <v>0</v>
      </c>
      <c r="F1454" s="184">
        <v>3.0249999999999999E-3</v>
      </c>
      <c r="G1454" s="54">
        <v>14850000000</v>
      </c>
      <c r="H1454" s="54">
        <v>6948500000</v>
      </c>
      <c r="I1454" s="66">
        <v>2.1371519032884794</v>
      </c>
      <c r="J1454" s="186">
        <v>20.874645892351275</v>
      </c>
    </row>
    <row r="1455" spans="1:10">
      <c r="A1455" s="65">
        <v>9926</v>
      </c>
      <c r="B1455" s="52">
        <v>0.49</v>
      </c>
      <c r="C1455" s="184">
        <v>0.81097560975609762</v>
      </c>
      <c r="D1455" s="181">
        <v>171428571.42857143</v>
      </c>
      <c r="E1455" s="26">
        <f>VLOOKUP(9926,季財報!$A:$H,8,0)</f>
        <v>0</v>
      </c>
      <c r="F1455" s="184">
        <v>-9.8249999999999935E-3</v>
      </c>
      <c r="G1455" s="54">
        <v>6942857142.8571434</v>
      </c>
      <c r="H1455" s="54">
        <v>2381082000</v>
      </c>
      <c r="I1455" s="66">
        <v>2.9158412616017184</v>
      </c>
      <c r="J1455" s="186">
        <v>25.479515114316403</v>
      </c>
    </row>
    <row r="1456" spans="1:10">
      <c r="A1456" s="65">
        <v>9927</v>
      </c>
      <c r="B1456" s="52">
        <v>0.43</v>
      </c>
      <c r="C1456" s="184">
        <v>1</v>
      </c>
      <c r="D1456" s="181">
        <v>209302325.58139536</v>
      </c>
      <c r="E1456" s="26">
        <f>VLOOKUP(9927,季財報!$A:$H,8,0)</f>
        <v>0</v>
      </c>
      <c r="F1456" s="184">
        <v>-9.2333333333333312E-3</v>
      </c>
      <c r="G1456" s="54">
        <v>5724418604.6511631</v>
      </c>
      <c r="H1456" s="54">
        <v>10711310000</v>
      </c>
      <c r="I1456" s="66">
        <v>0.53442749809791357</v>
      </c>
      <c r="J1456" s="186">
        <v>15.901162790697676</v>
      </c>
    </row>
    <row r="1457" spans="1:10">
      <c r="A1457" s="65">
        <v>9928</v>
      </c>
      <c r="B1457" s="52">
        <v>-0.4</v>
      </c>
      <c r="C1457" s="184">
        <v>1</v>
      </c>
      <c r="D1457" s="181">
        <v>132500000</v>
      </c>
      <c r="E1457" s="26">
        <f>VLOOKUP(9928,季財報!$A:$H,8,0)</f>
        <v>0</v>
      </c>
      <c r="F1457" s="184">
        <v>9.7358333333333311E-2</v>
      </c>
      <c r="G1457" s="54">
        <v>1477375000</v>
      </c>
      <c r="H1457" s="54">
        <v>942000000</v>
      </c>
      <c r="I1457" s="66">
        <v>1.5683386411889597</v>
      </c>
      <c r="J1457" s="186">
        <v>0</v>
      </c>
    </row>
    <row r="1458" spans="1:10">
      <c r="A1458" s="65">
        <v>9929</v>
      </c>
      <c r="B1458" s="52">
        <v>-0.32</v>
      </c>
      <c r="C1458" s="184">
        <v>0.83333333333333337</v>
      </c>
      <c r="D1458" s="181">
        <v>131250000</v>
      </c>
      <c r="E1458" s="26">
        <f>VLOOKUP(9929,季財報!$A:$H,8,0)</f>
        <v>0</v>
      </c>
      <c r="F1458" s="184">
        <v>6.6833333333333302E-3</v>
      </c>
      <c r="G1458" s="54">
        <v>1719375000</v>
      </c>
      <c r="H1458" s="54">
        <v>1131915000</v>
      </c>
      <c r="I1458" s="66">
        <v>1.5189965677634805</v>
      </c>
      <c r="J1458" s="186">
        <v>0</v>
      </c>
    </row>
    <row r="1459" spans="1:10">
      <c r="A1459" s="65">
        <v>9930</v>
      </c>
      <c r="B1459" s="52">
        <v>0.95</v>
      </c>
      <c r="C1459" s="184">
        <v>0.96912114014251782</v>
      </c>
      <c r="D1459" s="181">
        <v>225263157.89473686</v>
      </c>
      <c r="E1459" s="26">
        <f>VLOOKUP(9930,季財報!$A:$H,8,0)</f>
        <v>0</v>
      </c>
      <c r="F1459" s="184">
        <v>2.3441666666666663E-2</v>
      </c>
      <c r="G1459" s="54">
        <v>13853684210.526318</v>
      </c>
      <c r="H1459" s="54">
        <v>7646504000</v>
      </c>
      <c r="I1459" s="66">
        <v>1.8117670782002229</v>
      </c>
      <c r="J1459" s="186">
        <v>16.699883900928793</v>
      </c>
    </row>
    <row r="1460" spans="1:10">
      <c r="A1460" s="65">
        <v>9931</v>
      </c>
      <c r="B1460" s="52">
        <v>0.12</v>
      </c>
      <c r="C1460" s="184">
        <v>0.6987951807228916</v>
      </c>
      <c r="D1460" s="181">
        <v>100000000</v>
      </c>
      <c r="E1460" s="26">
        <f>VLOOKUP(9931,季財報!$A:$H,8,0)</f>
        <v>0</v>
      </c>
      <c r="F1460" s="184">
        <v>-9.7916666666666673E-3</v>
      </c>
      <c r="G1460" s="54">
        <v>0</v>
      </c>
      <c r="H1460" s="54">
        <v>1339161000</v>
      </c>
      <c r="I1460" s="66">
        <v>0</v>
      </c>
      <c r="J1460" s="186">
        <v>0</v>
      </c>
    </row>
    <row r="1461" spans="1:10">
      <c r="A1461" s="65">
        <v>9933</v>
      </c>
      <c r="B1461" s="52">
        <v>0.59</v>
      </c>
      <c r="C1461" s="184">
        <v>0.66404715127701375</v>
      </c>
      <c r="D1461" s="181">
        <v>766101694.91525424</v>
      </c>
      <c r="E1461" s="26">
        <f>VLOOKUP(9933,季財報!$A:$H,8,0)</f>
        <v>0</v>
      </c>
      <c r="F1461" s="184">
        <v>2.5341666666666669E-2</v>
      </c>
      <c r="G1461" s="54">
        <v>27694576271.18644</v>
      </c>
      <c r="H1461" s="54">
        <v>64115727000</v>
      </c>
      <c r="I1461" s="66">
        <v>0.43194669337815417</v>
      </c>
      <c r="J1461" s="186">
        <v>23.067332765018556</v>
      </c>
    </row>
    <row r="1462" spans="1:10">
      <c r="A1462" s="65">
        <v>9934</v>
      </c>
      <c r="B1462" s="52">
        <v>0.36</v>
      </c>
      <c r="C1462" s="184">
        <v>0.3987915407854985</v>
      </c>
      <c r="D1462" s="181">
        <v>358333333.33333337</v>
      </c>
      <c r="E1462" s="26">
        <f>VLOOKUP(9934,季財報!$A:$H,8,0)</f>
        <v>0</v>
      </c>
      <c r="F1462" s="184">
        <v>1.2258333333333331E-2</v>
      </c>
      <c r="G1462" s="54">
        <v>5267500000</v>
      </c>
      <c r="H1462" s="54">
        <v>19766130000</v>
      </c>
      <c r="I1462" s="66">
        <v>0.26649121502286993</v>
      </c>
      <c r="J1462" s="186">
        <v>25.59816919191919</v>
      </c>
    </row>
    <row r="1463" spans="1:10">
      <c r="A1463" s="65">
        <v>9935</v>
      </c>
      <c r="B1463" s="52">
        <v>0.01</v>
      </c>
      <c r="C1463" s="184">
        <v>1</v>
      </c>
      <c r="D1463" s="181">
        <v>200000000</v>
      </c>
      <c r="E1463" s="26">
        <f>VLOOKUP(9935,季財報!$A:$H,8,0)</f>
        <v>0</v>
      </c>
      <c r="F1463" s="184">
        <v>5.1958333333333329E-2</v>
      </c>
      <c r="G1463" s="54">
        <v>2340000000</v>
      </c>
      <c r="H1463" s="54">
        <v>3294234000</v>
      </c>
      <c r="I1463" s="66">
        <v>0.71033205291427381</v>
      </c>
      <c r="J1463" s="186">
        <v>50</v>
      </c>
    </row>
    <row r="1464" spans="1:10">
      <c r="A1464" s="65">
        <v>9937</v>
      </c>
      <c r="B1464" s="52">
        <v>0.33</v>
      </c>
      <c r="C1464" s="184">
        <v>0.23961661341853036</v>
      </c>
      <c r="D1464" s="181">
        <v>312121212.12121212</v>
      </c>
      <c r="E1464" s="26">
        <f>VLOOKUP(9937,季財報!$A:$H,8,0)</f>
        <v>0</v>
      </c>
      <c r="F1464" s="184">
        <v>-1.9491666666666668E-2</v>
      </c>
      <c r="G1464" s="54">
        <v>11330000000</v>
      </c>
      <c r="H1464" s="54">
        <v>21479621000</v>
      </c>
      <c r="I1464" s="66">
        <v>0.52747671851379496</v>
      </c>
      <c r="J1464" s="186">
        <v>50</v>
      </c>
    </row>
    <row r="1465" spans="1:10">
      <c r="A1465" s="65">
        <v>9938</v>
      </c>
      <c r="B1465" s="52">
        <v>1</v>
      </c>
      <c r="C1465" s="184">
        <v>0.93642611683848798</v>
      </c>
      <c r="D1465" s="181">
        <v>297000000</v>
      </c>
      <c r="E1465" s="26">
        <f>VLOOKUP(9938,季財報!$A:$H,8,0)</f>
        <v>0</v>
      </c>
      <c r="F1465" s="184">
        <v>4.721666666666665E-2</v>
      </c>
      <c r="G1465" s="54">
        <v>22334400000</v>
      </c>
      <c r="H1465" s="54">
        <v>9449870000</v>
      </c>
      <c r="I1465" s="66">
        <v>2.3634610846498418</v>
      </c>
      <c r="J1465" s="186">
        <v>20.07633027522936</v>
      </c>
    </row>
    <row r="1466" spans="1:10">
      <c r="A1466" s="65">
        <v>9939</v>
      </c>
      <c r="B1466" s="52">
        <v>0.74</v>
      </c>
      <c r="C1466" s="184">
        <v>1</v>
      </c>
      <c r="D1466" s="181">
        <v>309459459.45945948</v>
      </c>
      <c r="E1466" s="26">
        <f>VLOOKUP(9939,季財報!$A:$H,8,0)</f>
        <v>0</v>
      </c>
      <c r="F1466" s="184">
        <v>8.8583333333333378E-3</v>
      </c>
      <c r="G1466" s="54">
        <v>15503918918.918921</v>
      </c>
      <c r="H1466" s="54">
        <v>16639379000</v>
      </c>
      <c r="I1466" s="66">
        <v>0.93176066960905934</v>
      </c>
      <c r="J1466" s="186">
        <v>16.925675675675677</v>
      </c>
    </row>
    <row r="1467" spans="1:10">
      <c r="A1467" s="65">
        <v>9940</v>
      </c>
      <c r="B1467" s="52">
        <v>0.17</v>
      </c>
      <c r="C1467" s="184">
        <v>0.51704545454545459</v>
      </c>
      <c r="D1467" s="181">
        <v>647058823.52941167</v>
      </c>
      <c r="E1467" s="26">
        <f>VLOOKUP(9940,季財報!$A:$H,8,0)</f>
        <v>0</v>
      </c>
      <c r="F1467" s="184">
        <v>2.1649999999999989E-2</v>
      </c>
      <c r="G1467" s="54">
        <v>18085294117.647057</v>
      </c>
      <c r="H1467" s="54">
        <v>7761009000</v>
      </c>
      <c r="I1467" s="66">
        <v>2.3302761429148009</v>
      </c>
      <c r="J1467" s="186">
        <v>50</v>
      </c>
    </row>
    <row r="1468" spans="1:10">
      <c r="A1468" s="65">
        <v>9941</v>
      </c>
      <c r="B1468" s="52">
        <v>0.95</v>
      </c>
      <c r="C1468" s="184">
        <v>1</v>
      </c>
      <c r="D1468" s="181">
        <v>266315789.47368422</v>
      </c>
      <c r="E1468" s="26">
        <f>VLOOKUP(9941,季財報!$A:$H,8,0)</f>
        <v>0</v>
      </c>
      <c r="F1468" s="184">
        <v>3.933333333333333E-3</v>
      </c>
      <c r="G1468" s="54">
        <v>19947052631.578949</v>
      </c>
      <c r="H1468" s="54">
        <v>16766824000</v>
      </c>
      <c r="I1468" s="66">
        <v>1.1896738840688581</v>
      </c>
      <c r="J1468" s="186">
        <v>19.710526315789476</v>
      </c>
    </row>
    <row r="1469" spans="1:10">
      <c r="A1469" s="65">
        <v>9942</v>
      </c>
      <c r="B1469" s="52">
        <v>1.56</v>
      </c>
      <c r="C1469" s="184">
        <v>0.82403433476394849</v>
      </c>
      <c r="D1469" s="181">
        <v>83333333.333333328</v>
      </c>
      <c r="E1469" s="26">
        <f>VLOOKUP(9942,季財報!$A:$H,8,0)</f>
        <v>0</v>
      </c>
      <c r="F1469" s="184">
        <v>2.7866666666666661E-2</v>
      </c>
      <c r="G1469" s="54">
        <v>6125000000</v>
      </c>
      <c r="H1469" s="54">
        <v>2783326000</v>
      </c>
      <c r="I1469" s="66">
        <v>2.2006046003953545</v>
      </c>
      <c r="J1469" s="186">
        <v>14.294120592948719</v>
      </c>
    </row>
    <row r="1470" spans="1:10">
      <c r="A1470" s="65">
        <v>9943</v>
      </c>
      <c r="B1470" s="52">
        <v>1.49</v>
      </c>
      <c r="C1470" s="184">
        <v>0.43204868154158216</v>
      </c>
      <c r="D1470" s="181">
        <v>146979865.77181208</v>
      </c>
      <c r="E1470" s="26">
        <f>VLOOKUP(9943,季財報!$A:$H,8,0)</f>
        <v>0</v>
      </c>
      <c r="F1470" s="184">
        <v>3.4166666666666664E-3</v>
      </c>
      <c r="G1470" s="54">
        <v>8451342281.8791943</v>
      </c>
      <c r="H1470" s="54">
        <v>3148219000</v>
      </c>
      <c r="I1470" s="66">
        <v>2.6844836022777305</v>
      </c>
      <c r="J1470" s="186">
        <v>22.330009137599646</v>
      </c>
    </row>
    <row r="1471" spans="1:10">
      <c r="A1471" s="65">
        <v>9944</v>
      </c>
      <c r="B1471" s="52">
        <v>0.16</v>
      </c>
      <c r="C1471" s="184">
        <v>0.7192982456140351</v>
      </c>
      <c r="D1471" s="181">
        <v>112500000</v>
      </c>
      <c r="E1471" s="26">
        <f>VLOOKUP(9944,季財報!$A:$H,8,0)</f>
        <v>0</v>
      </c>
      <c r="F1471" s="184">
        <v>4.8166666666666644E-3</v>
      </c>
      <c r="G1471" s="54">
        <v>3414375000</v>
      </c>
      <c r="H1471" s="54">
        <v>4021850000</v>
      </c>
      <c r="I1471" s="66">
        <v>0.84895632606884897</v>
      </c>
      <c r="J1471" s="186">
        <v>50</v>
      </c>
    </row>
    <row r="1472" spans="1:10">
      <c r="A1472" s="65">
        <v>9945</v>
      </c>
      <c r="B1472" s="52">
        <v>2.72</v>
      </c>
      <c r="C1472" s="184">
        <v>0.13764379214597383</v>
      </c>
      <c r="D1472" s="181">
        <v>1285294117.6470587</v>
      </c>
      <c r="E1472" s="26">
        <f>VLOOKUP(9945,季財報!$A:$H,8,0)</f>
        <v>0</v>
      </c>
      <c r="F1472" s="184">
        <v>0.15590000000000004</v>
      </c>
      <c r="G1472" s="54">
        <v>54882058823.529411</v>
      </c>
      <c r="H1472" s="54">
        <v>12454813000</v>
      </c>
      <c r="I1472" s="66">
        <v>4.406494005452303</v>
      </c>
      <c r="J1472" s="186">
        <v>28.512963002203762</v>
      </c>
    </row>
    <row r="1473" spans="1:10">
      <c r="A1473" s="65">
        <v>9946</v>
      </c>
      <c r="B1473" s="52">
        <v>1.52</v>
      </c>
      <c r="C1473" s="184">
        <v>0.9886621315192744</v>
      </c>
      <c r="D1473" s="181">
        <v>264473684.21052632</v>
      </c>
      <c r="E1473" s="26">
        <f>VLOOKUP(9946,季財報!$A:$H,8,0)</f>
        <v>0</v>
      </c>
      <c r="F1473" s="184">
        <v>2.6179166666666664</v>
      </c>
      <c r="G1473" s="54">
        <v>3781973684.2105265</v>
      </c>
      <c r="H1473" s="54">
        <v>4021187000</v>
      </c>
      <c r="I1473" s="66">
        <v>0.9405117653594639</v>
      </c>
      <c r="J1473" s="186">
        <v>2.3789458594881703</v>
      </c>
    </row>
    <row r="1474" spans="1:10">
      <c r="A1474" s="65">
        <v>9949</v>
      </c>
      <c r="B1474" s="52">
        <v>-0.45</v>
      </c>
      <c r="C1474" s="184">
        <v>1</v>
      </c>
      <c r="D1474" s="181">
        <v>48888888.888888888</v>
      </c>
      <c r="E1474" s="26">
        <f>VLOOKUP(9949,季財報!$A:$H,8,0)</f>
        <v>0</v>
      </c>
      <c r="F1474" s="184">
        <v>2.2574999999999994E-2</v>
      </c>
      <c r="G1474" s="54">
        <v>677111111.11111104</v>
      </c>
      <c r="H1474" s="54">
        <v>427211000</v>
      </c>
      <c r="I1474" s="66">
        <v>1.5849571081060905</v>
      </c>
      <c r="J1474" s="186">
        <v>0</v>
      </c>
    </row>
    <row r="1475" spans="1:10">
      <c r="A1475" s="65">
        <v>9950</v>
      </c>
      <c r="B1475" s="52">
        <v>0.49</v>
      </c>
      <c r="C1475" s="184">
        <v>0.62790697674418605</v>
      </c>
      <c r="D1475" s="181">
        <v>65306122.448979594</v>
      </c>
      <c r="E1475" s="26">
        <f>VLOOKUP(9950,季財報!$A:$H,8,0)</f>
        <v>0</v>
      </c>
      <c r="F1475" s="184">
        <v>4.2658333333333333E-2</v>
      </c>
      <c r="G1475" s="54">
        <v>1332244897.9591837</v>
      </c>
      <c r="H1475" s="54">
        <v>3401723000</v>
      </c>
      <c r="I1475" s="66">
        <v>0.39163826624307263</v>
      </c>
      <c r="J1475" s="186">
        <v>16.575963718820859</v>
      </c>
    </row>
    <row r="1476" spans="1:10">
      <c r="A1476" s="65">
        <v>9951</v>
      </c>
      <c r="B1476" s="52">
        <v>2.65</v>
      </c>
      <c r="C1476" s="184">
        <v>0.86290322580645162</v>
      </c>
      <c r="D1476" s="181">
        <v>74716981.132075474</v>
      </c>
      <c r="E1476" s="26">
        <f>VLOOKUP(9951,季財報!$A:$H,8,0)</f>
        <v>0</v>
      </c>
      <c r="F1476" s="184">
        <v>2.0625000000000001E-2</v>
      </c>
      <c r="G1476" s="54">
        <v>11469056603.773584</v>
      </c>
      <c r="H1476" s="54">
        <v>3599703000</v>
      </c>
      <c r="I1476" s="66">
        <v>3.1861119108364173</v>
      </c>
      <c r="J1476" s="186">
        <v>16.78187268559337</v>
      </c>
    </row>
    <row r="1477" spans="1:10">
      <c r="A1477" s="65">
        <v>9955</v>
      </c>
      <c r="B1477" s="52">
        <v>-0.23</v>
      </c>
      <c r="C1477" s="184">
        <v>0.98305084745762716</v>
      </c>
      <c r="D1477" s="181">
        <v>100000000</v>
      </c>
      <c r="E1477" s="26">
        <f>VLOOKUP(9955,季財報!$A:$H,8,0)</f>
        <v>0</v>
      </c>
      <c r="F1477" s="184">
        <v>7.481666666666667E-2</v>
      </c>
      <c r="G1477" s="54">
        <v>1510000000</v>
      </c>
      <c r="H1477" s="54">
        <v>2533729000</v>
      </c>
      <c r="I1477" s="66">
        <v>0.59595955210679596</v>
      </c>
      <c r="J1477" s="186">
        <v>0</v>
      </c>
    </row>
    <row r="1478" spans="1:10">
      <c r="A1478" s="65">
        <v>9958</v>
      </c>
      <c r="B1478" s="52">
        <v>0.48</v>
      </c>
      <c r="C1478" s="184">
        <v>1</v>
      </c>
      <c r="D1478" s="181">
        <v>185416666.66666669</v>
      </c>
      <c r="E1478" s="26">
        <f>VLOOKUP(9958,季財報!$A:$H,8,0)</f>
        <v>0</v>
      </c>
      <c r="F1478" s="184">
        <v>5.192500000000002E-2</v>
      </c>
      <c r="G1478" s="54">
        <v>1852312500.0000002</v>
      </c>
      <c r="H1478" s="54">
        <v>2872436000</v>
      </c>
      <c r="I1478" s="66">
        <v>0.64485770962346955</v>
      </c>
      <c r="J1478" s="186">
        <v>5.203125</v>
      </c>
    </row>
    <row r="1479" spans="1:10">
      <c r="A1479" s="65">
        <v>9960</v>
      </c>
      <c r="B1479" s="52">
        <v>-7.0000000000000007E-2</v>
      </c>
      <c r="C1479" s="184">
        <v>0</v>
      </c>
      <c r="D1479" s="181">
        <v>28571428.571428567</v>
      </c>
      <c r="E1479" s="26">
        <f>VLOOKUP(9960,季財報!$A:$H,8,0)</f>
        <v>0</v>
      </c>
      <c r="F1479" s="184">
        <v>-1.6891666666666669E-2</v>
      </c>
      <c r="G1479" s="54">
        <v>534285714.28571421</v>
      </c>
      <c r="H1479" s="54">
        <v>533012000</v>
      </c>
      <c r="I1479" s="66">
        <v>1.0023896540522805</v>
      </c>
      <c r="J1479" s="186">
        <v>0</v>
      </c>
    </row>
    <row r="1480" spans="1:10">
      <c r="A1480" s="65">
        <v>9962</v>
      </c>
      <c r="B1480" s="52">
        <v>-0.23</v>
      </c>
      <c r="C1480" s="184">
        <v>1</v>
      </c>
      <c r="D1480" s="181">
        <v>91304347.826086953</v>
      </c>
      <c r="E1480" s="26">
        <f>VLOOKUP(9962,季財報!$A:$H,8,0)</f>
        <v>0</v>
      </c>
      <c r="F1480" s="184">
        <v>-4.800000000000003E-3</v>
      </c>
      <c r="G1480" s="54">
        <v>684782608.69565213</v>
      </c>
      <c r="H1480" s="54">
        <v>2109701000</v>
      </c>
      <c r="I1480" s="66">
        <v>0.32458751675979303</v>
      </c>
      <c r="J1480" s="186">
        <v>0</v>
      </c>
    </row>
    <row r="1481" spans="1:10">
      <c r="A1481" s="65">
        <v>8913</v>
      </c>
      <c r="B1481" s="52">
        <v>0.19</v>
      </c>
      <c r="C1481" s="184">
        <v>0.4</v>
      </c>
      <c r="D1481" s="181">
        <v>52631578.947368421</v>
      </c>
      <c r="E1481" s="26">
        <f>VLOOKUP(8913,季財報!$A:$H,8,0)</f>
        <v>0</v>
      </c>
      <c r="F1481" s="184">
        <v>1.2325000000000003E-2</v>
      </c>
      <c r="G1481" s="54">
        <v>802631578.94736838</v>
      </c>
      <c r="H1481" s="54">
        <v>70033000</v>
      </c>
      <c r="I1481" s="66">
        <v>10</v>
      </c>
      <c r="J1481" s="186">
        <v>50</v>
      </c>
    </row>
  </sheetData>
  <sortState ref="A2:J1480">
    <sortCondition ref="A1:A148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8" r:id="rId3" name="CommandButton6"/>
    <control shapeId="3085" r:id="rId4" name="CommandButton9"/>
    <control shapeId="3075" r:id="rId5" name="CommandButton3"/>
    <control shapeId="3077" r:id="rId6" name="CommandButton4"/>
    <control shapeId="3079" r:id="rId7" name="CommandButton5"/>
    <control shapeId="3080" r:id="rId8" name="CommandButton1"/>
    <control shapeId="3086" r:id="rId9" name="CommandButton10"/>
    <control shapeId="3087" r:id="rId10" name="CommandButton2"/>
    <control shapeId="3089" r:id="rId11" name="CommandButton7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59" activePane="bottomRight" state="frozen"/>
      <selection pane="topRight" activeCell="H1" sqref="H1"/>
      <selection pane="bottomLeft" activeCell="A2" sqref="A2"/>
      <selection pane="bottomRight" activeCell="H1477" sqref="H1477"/>
    </sheetView>
  </sheetViews>
  <sheetFormatPr defaultRowHeight="16.5"/>
  <cols>
    <col min="3" max="3" width="9.5" bestFit="1" customWidth="1"/>
    <col min="4" max="4" width="10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9">
        <v>42240</v>
      </c>
      <c r="D1" s="89">
        <v>42331</v>
      </c>
      <c r="E1" t="s">
        <v>1868</v>
      </c>
      <c r="F1" t="s">
        <v>1897</v>
      </c>
    </row>
    <row r="2" spans="1:6">
      <c r="A2">
        <v>4529</v>
      </c>
      <c r="B2" t="s">
        <v>1606</v>
      </c>
      <c r="C2">
        <v>10.65</v>
      </c>
      <c r="D2">
        <f>VLOOKUP(A2,收盤價!A:C,3,0)</f>
        <v>55.6</v>
      </c>
      <c r="E2" s="187">
        <v>4.220657276995305</v>
      </c>
      <c r="F2">
        <v>99.87</v>
      </c>
    </row>
    <row r="3" spans="1:6">
      <c r="A3">
        <v>4502</v>
      </c>
      <c r="B3" t="s">
        <v>1600</v>
      </c>
      <c r="C3">
        <v>5.8</v>
      </c>
      <c r="D3">
        <f>VLOOKUP(A3,收盤價!A:C,3,0)</f>
        <v>24.65</v>
      </c>
      <c r="E3" s="187">
        <v>3.2499999999999996</v>
      </c>
      <c r="F3">
        <v>99.81</v>
      </c>
    </row>
    <row r="4" spans="1:6">
      <c r="A4">
        <v>8105</v>
      </c>
      <c r="B4" t="s">
        <v>1348</v>
      </c>
      <c r="C4">
        <v>5.85</v>
      </c>
      <c r="D4">
        <f>VLOOKUP(A4,收盤價!A:C,3,0)</f>
        <v>24.6</v>
      </c>
      <c r="E4" s="187">
        <v>3.2051282051282053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334.5</v>
      </c>
      <c r="E5" s="187">
        <v>2.4735202492211839</v>
      </c>
      <c r="F5">
        <v>99.68</v>
      </c>
    </row>
    <row r="6" spans="1:6">
      <c r="A6">
        <v>6238</v>
      </c>
      <c r="B6" t="s">
        <v>1755</v>
      </c>
      <c r="C6">
        <v>57.7</v>
      </c>
      <c r="D6">
        <f>VLOOKUP(A6,收盤價!A:C,3,0)</f>
        <v>161.5</v>
      </c>
      <c r="E6" s="187">
        <v>1.7989601386481802</v>
      </c>
      <c r="F6">
        <v>99.62</v>
      </c>
    </row>
    <row r="7" spans="1:6">
      <c r="A7">
        <v>6201</v>
      </c>
      <c r="B7" t="s">
        <v>1437</v>
      </c>
      <c r="C7">
        <v>9.25</v>
      </c>
      <c r="D7">
        <f>VLOOKUP(A7,收盤價!A:C,3,0)</f>
        <v>25.3</v>
      </c>
      <c r="E7" s="187">
        <v>1.7351351351351352</v>
      </c>
      <c r="F7">
        <v>99.56</v>
      </c>
    </row>
    <row r="8" spans="1:6">
      <c r="A8">
        <v>6452</v>
      </c>
      <c r="B8" t="s">
        <v>1331</v>
      </c>
      <c r="C8">
        <v>148</v>
      </c>
      <c r="D8">
        <f>VLOOKUP(A8,收盤價!A:C,3,0)</f>
        <v>395</v>
      </c>
      <c r="E8" s="187">
        <v>1.6689189189189189</v>
      </c>
      <c r="F8">
        <v>99.5</v>
      </c>
    </row>
    <row r="9" spans="1:6">
      <c r="A9">
        <v>5288</v>
      </c>
      <c r="B9" t="s">
        <v>1237</v>
      </c>
      <c r="C9">
        <v>52.3</v>
      </c>
      <c r="D9">
        <f>VLOOKUP(A9,收盤價!A:C,3,0)</f>
        <v>137</v>
      </c>
      <c r="E9" s="187">
        <v>1.6195028680688337</v>
      </c>
      <c r="F9">
        <v>99.43</v>
      </c>
    </row>
    <row r="10" spans="1:6">
      <c r="A10">
        <v>6169</v>
      </c>
      <c r="B10" t="s">
        <v>1735</v>
      </c>
      <c r="C10">
        <v>11</v>
      </c>
      <c r="D10">
        <f>VLOOKUP(A10,收盤價!A:C,3,0)</f>
        <v>28.25</v>
      </c>
      <c r="E10" s="187">
        <v>1.5681818181818181</v>
      </c>
      <c r="F10">
        <v>99.37</v>
      </c>
    </row>
    <row r="11" spans="1:6">
      <c r="A11">
        <v>4726</v>
      </c>
      <c r="B11" t="s">
        <v>1616</v>
      </c>
      <c r="C11">
        <v>23.45</v>
      </c>
      <c r="D11">
        <f>VLOOKUP(A11,收盤價!A:C,3,0)</f>
        <v>57.1</v>
      </c>
      <c r="E11" s="187">
        <v>1.4349680170575696</v>
      </c>
      <c r="F11">
        <v>99.31</v>
      </c>
    </row>
    <row r="12" spans="1:6">
      <c r="A12">
        <v>8916</v>
      </c>
      <c r="B12" t="s">
        <v>527</v>
      </c>
      <c r="C12">
        <v>25.2</v>
      </c>
      <c r="D12">
        <f>VLOOKUP(A12,收盤價!A:C,3,0)</f>
        <v>59.5</v>
      </c>
      <c r="E12" s="187">
        <v>1.3611111111111109</v>
      </c>
      <c r="F12">
        <v>99.24</v>
      </c>
    </row>
    <row r="13" spans="1:6">
      <c r="A13">
        <v>4935</v>
      </c>
      <c r="B13" t="s">
        <v>1215</v>
      </c>
      <c r="C13">
        <v>33.049999999999997</v>
      </c>
      <c r="D13">
        <f>VLOOKUP(A13,收盤價!A:C,3,0)</f>
        <v>77</v>
      </c>
      <c r="E13" s="187">
        <v>1.3298033282904691</v>
      </c>
      <c r="F13">
        <v>99.18</v>
      </c>
    </row>
    <row r="14" spans="1:6">
      <c r="A14">
        <v>4108</v>
      </c>
      <c r="B14" t="s">
        <v>1183</v>
      </c>
      <c r="C14">
        <v>13.2</v>
      </c>
      <c r="D14">
        <f>VLOOKUP(A14,收盤價!A:C,3,0)</f>
        <v>30.65</v>
      </c>
      <c r="E14" s="187">
        <v>1.321969696969697</v>
      </c>
      <c r="F14">
        <v>99.12</v>
      </c>
    </row>
    <row r="15" spans="1:6">
      <c r="A15">
        <v>3492</v>
      </c>
      <c r="B15" t="s">
        <v>1525</v>
      </c>
      <c r="C15">
        <v>15.95</v>
      </c>
      <c r="D15">
        <f>VLOOKUP(A15,收盤價!A:C,3,0)</f>
        <v>36.9</v>
      </c>
      <c r="E15" s="187">
        <v>1.3134796238244515</v>
      </c>
      <c r="F15">
        <v>99.05</v>
      </c>
    </row>
    <row r="16" spans="1:6">
      <c r="A16">
        <v>1541</v>
      </c>
      <c r="B16" t="s">
        <v>676</v>
      </c>
      <c r="C16">
        <v>23.05</v>
      </c>
      <c r="D16">
        <f>VLOOKUP(A16,收盤價!A:C,3,0)</f>
        <v>53</v>
      </c>
      <c r="E16" s="187">
        <v>1.2993492407809111</v>
      </c>
      <c r="F16">
        <v>98.99</v>
      </c>
    </row>
    <row r="17" spans="1:6">
      <c r="A17">
        <v>3049</v>
      </c>
      <c r="B17" t="s">
        <v>1088</v>
      </c>
      <c r="C17">
        <v>2.63</v>
      </c>
      <c r="D17">
        <f>VLOOKUP(A17,收盤價!A:C,3,0)</f>
        <v>5.99</v>
      </c>
      <c r="E17" s="187">
        <v>1.2775665399239546</v>
      </c>
      <c r="F17">
        <v>98.93</v>
      </c>
    </row>
    <row r="18" spans="1:6">
      <c r="A18">
        <v>3617</v>
      </c>
      <c r="B18" t="s">
        <v>1162</v>
      </c>
      <c r="C18">
        <v>54.6</v>
      </c>
      <c r="D18">
        <f>VLOOKUP(A18,收盤價!A:C,3,0)</f>
        <v>124</v>
      </c>
      <c r="E18" s="187">
        <v>1.2710622710622712</v>
      </c>
      <c r="F18">
        <v>98.86</v>
      </c>
    </row>
    <row r="19" spans="1:6">
      <c r="A19">
        <v>4188</v>
      </c>
      <c r="B19" t="s">
        <v>1584</v>
      </c>
      <c r="C19">
        <v>14.7</v>
      </c>
      <c r="D19">
        <f>VLOOKUP(A19,收盤價!A:C,3,0)</f>
        <v>33.200000000000003</v>
      </c>
      <c r="E19" s="187">
        <v>1.2585034013605445</v>
      </c>
      <c r="F19">
        <v>98.8</v>
      </c>
    </row>
    <row r="20" spans="1:6">
      <c r="A20">
        <v>3479</v>
      </c>
      <c r="B20" t="s">
        <v>1523</v>
      </c>
      <c r="C20">
        <v>32.799999999999997</v>
      </c>
      <c r="D20">
        <f>VLOOKUP(A20,收盤價!A:C,3,0)</f>
        <v>72.400000000000006</v>
      </c>
      <c r="E20" s="187">
        <v>1.2073170731707321</v>
      </c>
      <c r="F20">
        <v>98.74</v>
      </c>
    </row>
    <row r="21" spans="1:6">
      <c r="A21">
        <v>3555</v>
      </c>
      <c r="B21" t="s">
        <v>1539</v>
      </c>
      <c r="C21">
        <v>3.97</v>
      </c>
      <c r="D21">
        <f>VLOOKUP(A21,收盤價!A:C,3,0)</f>
        <v>8.7100000000000009</v>
      </c>
      <c r="E21" s="187">
        <v>1.1939546599496222</v>
      </c>
      <c r="F21">
        <v>98.68</v>
      </c>
    </row>
    <row r="22" spans="1:6">
      <c r="A22">
        <v>2406</v>
      </c>
      <c r="B22" t="s">
        <v>868</v>
      </c>
      <c r="C22">
        <v>14.2</v>
      </c>
      <c r="D22">
        <f>VLOOKUP(A22,收盤價!A:C,3,0)</f>
        <v>31.05</v>
      </c>
      <c r="E22" s="187">
        <v>1.1866197183098592</v>
      </c>
      <c r="F22">
        <v>98.61</v>
      </c>
    </row>
    <row r="23" spans="1:6">
      <c r="A23">
        <v>6282</v>
      </c>
      <c r="B23" t="s">
        <v>1315</v>
      </c>
      <c r="C23">
        <v>12.85</v>
      </c>
      <c r="D23">
        <f>VLOOKUP(A23,收盤價!A:C,3,0)</f>
        <v>27.8</v>
      </c>
      <c r="E23" s="187">
        <v>1.1634241245136188</v>
      </c>
      <c r="F23">
        <v>98.55</v>
      </c>
    </row>
    <row r="24" spans="1:6">
      <c r="A24">
        <v>3514</v>
      </c>
      <c r="B24" t="s">
        <v>1137</v>
      </c>
      <c r="C24">
        <v>12</v>
      </c>
      <c r="D24">
        <f>VLOOKUP(A24,收盤價!A:C,3,0)</f>
        <v>25.85</v>
      </c>
      <c r="E24" s="187">
        <v>1.1541666666666668</v>
      </c>
      <c r="F24">
        <v>98.49</v>
      </c>
    </row>
    <row r="25" spans="1:6">
      <c r="A25">
        <v>4121</v>
      </c>
      <c r="B25" t="s">
        <v>1569</v>
      </c>
      <c r="C25">
        <v>7.99</v>
      </c>
      <c r="D25">
        <f>VLOOKUP(A25,收盤價!A:C,3,0)</f>
        <v>17.149999999999999</v>
      </c>
      <c r="E25" s="187">
        <v>1.1464330413016268</v>
      </c>
      <c r="F25">
        <v>98.42</v>
      </c>
    </row>
    <row r="26" spans="1:6">
      <c r="A26">
        <v>8433</v>
      </c>
      <c r="B26" t="s">
        <v>522</v>
      </c>
      <c r="C26">
        <v>68.900000000000006</v>
      </c>
      <c r="D26">
        <f>VLOOKUP(A26,收盤價!A:C,3,0)</f>
        <v>145</v>
      </c>
      <c r="E26" s="187">
        <v>1.1044992743105948</v>
      </c>
      <c r="F26">
        <v>98.36</v>
      </c>
    </row>
    <row r="27" spans="1:6">
      <c r="A27">
        <v>4174</v>
      </c>
      <c r="B27" t="s">
        <v>374</v>
      </c>
      <c r="C27">
        <v>262</v>
      </c>
      <c r="D27">
        <f>VLOOKUP(A27,收盤價!A:C,3,0)</f>
        <v>551</v>
      </c>
      <c r="E27" s="187">
        <v>1.1030534351145038</v>
      </c>
      <c r="F27">
        <v>98.3</v>
      </c>
    </row>
    <row r="28" spans="1:6">
      <c r="A28">
        <v>2498</v>
      </c>
      <c r="B28" t="s">
        <v>939</v>
      </c>
      <c r="C28">
        <v>40.35</v>
      </c>
      <c r="D28">
        <f>VLOOKUP(A28,收盤價!A:C,3,0)</f>
        <v>84.5</v>
      </c>
      <c r="E28" s="187">
        <v>1.0941759603469641</v>
      </c>
      <c r="F28">
        <v>98.23</v>
      </c>
    </row>
    <row r="29" spans="1:6">
      <c r="A29">
        <v>3548</v>
      </c>
      <c r="B29" t="s">
        <v>342</v>
      </c>
      <c r="C29">
        <v>18.2</v>
      </c>
      <c r="D29">
        <f>VLOOKUP(A29,收盤價!A:C,3,0)</f>
        <v>37.9</v>
      </c>
      <c r="E29" s="187">
        <v>1.0824175824175823</v>
      </c>
      <c r="F29">
        <v>98.17</v>
      </c>
    </row>
    <row r="30" spans="1:6">
      <c r="A30">
        <v>6237</v>
      </c>
      <c r="B30" t="s">
        <v>481</v>
      </c>
      <c r="C30">
        <v>17.25</v>
      </c>
      <c r="D30">
        <f>VLOOKUP(A30,收盤價!A:C,3,0)</f>
        <v>35.5</v>
      </c>
      <c r="E30" s="187">
        <v>1.0579710144927537</v>
      </c>
      <c r="F30">
        <v>98.11</v>
      </c>
    </row>
    <row r="31" spans="1:6">
      <c r="A31">
        <v>2439</v>
      </c>
      <c r="B31" t="s">
        <v>893</v>
      </c>
      <c r="C31">
        <v>31.9</v>
      </c>
      <c r="D31">
        <f>VLOOKUP(A31,收盤價!A:C,3,0)</f>
        <v>65</v>
      </c>
      <c r="E31" s="187">
        <v>1.0376175548589344</v>
      </c>
      <c r="F31">
        <v>98.04</v>
      </c>
    </row>
    <row r="32" spans="1:6">
      <c r="A32">
        <v>1565</v>
      </c>
      <c r="B32" t="s">
        <v>1440</v>
      </c>
      <c r="C32">
        <v>305.5</v>
      </c>
      <c r="D32">
        <f>VLOOKUP(A32,收盤價!A:C,3,0)</f>
        <v>614</v>
      </c>
      <c r="E32" s="187">
        <v>1.0098199672667758</v>
      </c>
      <c r="F32">
        <v>97.98</v>
      </c>
    </row>
    <row r="33" spans="1:6">
      <c r="A33">
        <v>1337</v>
      </c>
      <c r="B33" t="s">
        <v>593</v>
      </c>
      <c r="C33">
        <v>10.75</v>
      </c>
      <c r="D33">
        <f>VLOOKUP(A33,收盤價!A:C,3,0)</f>
        <v>21.6</v>
      </c>
      <c r="E33" s="187">
        <v>1.0093023255813955</v>
      </c>
      <c r="F33">
        <v>97.92</v>
      </c>
    </row>
    <row r="34" spans="1:6">
      <c r="A34">
        <v>1338</v>
      </c>
      <c r="B34" t="s">
        <v>594</v>
      </c>
      <c r="C34">
        <v>71.2</v>
      </c>
      <c r="D34">
        <f>VLOOKUP(A34,收盤價!A:C,3,0)</f>
        <v>142</v>
      </c>
      <c r="E34" s="187">
        <v>0.99438202247190999</v>
      </c>
      <c r="F34">
        <v>97.85</v>
      </c>
    </row>
    <row r="35" spans="1:6">
      <c r="A35">
        <v>5245</v>
      </c>
      <c r="B35" t="s">
        <v>410</v>
      </c>
      <c r="C35">
        <v>43.1</v>
      </c>
      <c r="D35">
        <f>VLOOKUP(A35,收盤價!A:C,3,0)</f>
        <v>84.7</v>
      </c>
      <c r="E35" s="187">
        <v>0.96519721577726214</v>
      </c>
      <c r="F35">
        <v>97.79</v>
      </c>
    </row>
    <row r="36" spans="1:6">
      <c r="A36">
        <v>2481</v>
      </c>
      <c r="B36" t="s">
        <v>925</v>
      </c>
      <c r="C36">
        <v>7.61</v>
      </c>
      <c r="D36">
        <f>VLOOKUP(A36,收盤價!A:C,3,0)</f>
        <v>14.9</v>
      </c>
      <c r="E36" s="187">
        <v>0.95795006570302232</v>
      </c>
      <c r="F36">
        <v>97.73</v>
      </c>
    </row>
    <row r="37" spans="1:6">
      <c r="A37">
        <v>2345</v>
      </c>
      <c r="B37" t="s">
        <v>823</v>
      </c>
      <c r="C37">
        <v>12.85</v>
      </c>
      <c r="D37">
        <f>VLOOKUP(A37,收盤價!A:C,3,0)</f>
        <v>25.05</v>
      </c>
      <c r="E37" s="187">
        <v>0.94941634241245143</v>
      </c>
      <c r="F37">
        <v>97.67</v>
      </c>
    </row>
    <row r="38" spans="1:6">
      <c r="A38">
        <v>3035</v>
      </c>
      <c r="B38" t="s">
        <v>1075</v>
      </c>
      <c r="C38">
        <v>23.85</v>
      </c>
      <c r="D38">
        <f>VLOOKUP(A38,收盤價!A:C,3,0)</f>
        <v>46.2</v>
      </c>
      <c r="E38" s="187">
        <v>0.93710691823899372</v>
      </c>
      <c r="F38">
        <v>97.6</v>
      </c>
    </row>
    <row r="39" spans="1:6">
      <c r="A39">
        <v>4192</v>
      </c>
      <c r="B39" t="s">
        <v>1585</v>
      </c>
      <c r="C39">
        <v>24.75</v>
      </c>
      <c r="D39">
        <f>VLOOKUP(A39,收盤價!A:C,3,0)</f>
        <v>47.65</v>
      </c>
      <c r="E39" s="187">
        <v>0.92525252525252522</v>
      </c>
      <c r="F39">
        <v>97.54</v>
      </c>
    </row>
    <row r="40" spans="1:6">
      <c r="A40">
        <v>8432</v>
      </c>
      <c r="B40" t="s">
        <v>521</v>
      </c>
      <c r="C40">
        <v>38.799999999999997</v>
      </c>
      <c r="D40">
        <f>VLOOKUP(A40,收盤價!A:C,3,0)</f>
        <v>73.8</v>
      </c>
      <c r="E40" s="187">
        <v>0.90206185567010311</v>
      </c>
      <c r="F40">
        <v>97.48</v>
      </c>
    </row>
    <row r="41" spans="1:6">
      <c r="A41">
        <v>4168</v>
      </c>
      <c r="B41" t="s">
        <v>372</v>
      </c>
      <c r="C41">
        <v>27.4</v>
      </c>
      <c r="D41">
        <f>VLOOKUP(A41,收盤價!A:C,3,0)</f>
        <v>52</v>
      </c>
      <c r="E41" s="187">
        <v>0.89781021897810231</v>
      </c>
      <c r="F41">
        <v>97.41</v>
      </c>
    </row>
    <row r="42" spans="1:6">
      <c r="A42">
        <v>3605</v>
      </c>
      <c r="B42" t="s">
        <v>1160</v>
      </c>
      <c r="C42">
        <v>14.5</v>
      </c>
      <c r="D42">
        <f>VLOOKUP(A42,收盤價!A:C,3,0)</f>
        <v>27.3</v>
      </c>
      <c r="E42" s="187">
        <v>0.88275862068965527</v>
      </c>
      <c r="F42">
        <v>97.35</v>
      </c>
    </row>
    <row r="43" spans="1:6">
      <c r="A43">
        <v>1527</v>
      </c>
      <c r="B43" t="s">
        <v>663</v>
      </c>
      <c r="C43">
        <v>35.9</v>
      </c>
      <c r="D43">
        <f>VLOOKUP(A43,收盤價!A:C,3,0)</f>
        <v>67.2</v>
      </c>
      <c r="E43" s="187">
        <v>0.87186629526462411</v>
      </c>
      <c r="F43">
        <v>97.29</v>
      </c>
    </row>
    <row r="44" spans="1:6">
      <c r="A44">
        <v>2377</v>
      </c>
      <c r="B44" t="s">
        <v>850</v>
      </c>
      <c r="C44">
        <v>22.2</v>
      </c>
      <c r="D44">
        <f>VLOOKUP(A44,收盤價!A:C,3,0)</f>
        <v>41.55</v>
      </c>
      <c r="E44" s="187">
        <v>0.8716216216216216</v>
      </c>
      <c r="F44">
        <v>97.22</v>
      </c>
    </row>
    <row r="45" spans="1:6">
      <c r="A45">
        <v>2236</v>
      </c>
      <c r="B45" t="s">
        <v>796</v>
      </c>
      <c r="C45">
        <v>20.8</v>
      </c>
      <c r="D45">
        <f>VLOOKUP(A45,收盤價!A:C,3,0)</f>
        <v>38.6</v>
      </c>
      <c r="E45" s="187">
        <v>0.85576923076923073</v>
      </c>
      <c r="F45">
        <v>97.16</v>
      </c>
    </row>
    <row r="46" spans="1:6">
      <c r="A46">
        <v>6156</v>
      </c>
      <c r="B46" t="s">
        <v>1865</v>
      </c>
      <c r="C46">
        <v>7.9</v>
      </c>
      <c r="D46">
        <f>VLOOKUP(A46,收盤價!A:C,3,0)</f>
        <v>14.6</v>
      </c>
      <c r="E46" s="187">
        <v>0.84810126582278467</v>
      </c>
      <c r="F46">
        <v>97.1</v>
      </c>
    </row>
    <row r="47" spans="1:6">
      <c r="A47">
        <v>4934</v>
      </c>
      <c r="B47" t="s">
        <v>1214</v>
      </c>
      <c r="C47">
        <v>10.85</v>
      </c>
      <c r="D47">
        <f>VLOOKUP(A47,收盤價!A:C,3,0)</f>
        <v>20</v>
      </c>
      <c r="E47" s="187">
        <v>0.84331797235023043</v>
      </c>
      <c r="F47">
        <v>97.03</v>
      </c>
    </row>
    <row r="48" spans="1:6">
      <c r="A48">
        <v>8096</v>
      </c>
      <c r="B48" t="s">
        <v>1803</v>
      </c>
      <c r="C48">
        <v>14.2</v>
      </c>
      <c r="D48">
        <f>VLOOKUP(A48,收盤價!A:C,3,0)</f>
        <v>26.15</v>
      </c>
      <c r="E48" s="187">
        <v>0.84154929577464788</v>
      </c>
      <c r="F48">
        <v>96.97</v>
      </c>
    </row>
    <row r="49" spans="1:6">
      <c r="A49">
        <v>1784</v>
      </c>
      <c r="B49" t="s">
        <v>1449</v>
      </c>
      <c r="C49">
        <v>20.8</v>
      </c>
      <c r="D49">
        <f>VLOOKUP(A49,收盤價!A:C,3,0)</f>
        <v>38.299999999999997</v>
      </c>
      <c r="E49" s="187">
        <v>0.84134615384615363</v>
      </c>
      <c r="F49">
        <v>96.91</v>
      </c>
    </row>
    <row r="50" spans="1:6">
      <c r="A50">
        <v>3092</v>
      </c>
      <c r="B50" t="s">
        <v>289</v>
      </c>
      <c r="C50">
        <v>9.3000000000000007</v>
      </c>
      <c r="D50">
        <f>VLOOKUP(A50,收盤價!A:C,3,0)</f>
        <v>17.100000000000001</v>
      </c>
      <c r="E50" s="187">
        <v>0.83870967741935487</v>
      </c>
      <c r="F50">
        <v>96.85</v>
      </c>
    </row>
    <row r="51" spans="1:6">
      <c r="A51">
        <v>3324</v>
      </c>
      <c r="B51" t="s">
        <v>1509</v>
      </c>
      <c r="C51">
        <v>14.85</v>
      </c>
      <c r="D51">
        <f>VLOOKUP(A51,收盤價!A:C,3,0)</f>
        <v>27.15</v>
      </c>
      <c r="E51" s="187">
        <v>0.82828282828282818</v>
      </c>
      <c r="F51">
        <v>96.78</v>
      </c>
    </row>
    <row r="52" spans="1:6">
      <c r="A52">
        <v>4947</v>
      </c>
      <c r="B52" t="s">
        <v>1629</v>
      </c>
      <c r="C52">
        <v>115</v>
      </c>
      <c r="D52">
        <f>VLOOKUP(A52,收盤價!A:C,3,0)</f>
        <v>209.5</v>
      </c>
      <c r="E52" s="187">
        <v>0.82173913043478264</v>
      </c>
      <c r="F52">
        <v>96.72</v>
      </c>
    </row>
    <row r="53" spans="1:6">
      <c r="A53">
        <v>4916</v>
      </c>
      <c r="B53" t="s">
        <v>1210</v>
      </c>
      <c r="C53">
        <v>12.3</v>
      </c>
      <c r="D53">
        <f>VLOOKUP(A53,收盤價!A:C,3,0)</f>
        <v>22.4</v>
      </c>
      <c r="E53" s="187">
        <v>0.82113821138211363</v>
      </c>
      <c r="F53">
        <v>96.66</v>
      </c>
    </row>
    <row r="54" spans="1:6">
      <c r="A54">
        <v>4152</v>
      </c>
      <c r="B54" t="s">
        <v>368</v>
      </c>
      <c r="C54">
        <v>88.2</v>
      </c>
      <c r="D54">
        <f>VLOOKUP(A54,收盤價!A:C,3,0)</f>
        <v>160</v>
      </c>
      <c r="E54" s="187">
        <v>0.81405895691609975</v>
      </c>
      <c r="F54">
        <v>96.59</v>
      </c>
    </row>
    <row r="55" spans="1:6">
      <c r="A55">
        <v>8261</v>
      </c>
      <c r="B55" t="s">
        <v>1361</v>
      </c>
      <c r="C55">
        <v>16.649999999999999</v>
      </c>
      <c r="D55">
        <f>VLOOKUP(A55,收盤價!A:C,3,0)</f>
        <v>30.2</v>
      </c>
      <c r="E55" s="187">
        <v>0.8138138138138139</v>
      </c>
      <c r="F55">
        <v>96.53</v>
      </c>
    </row>
    <row r="56" spans="1:6">
      <c r="A56">
        <v>4137</v>
      </c>
      <c r="B56" t="s">
        <v>1186</v>
      </c>
      <c r="C56">
        <v>201.5</v>
      </c>
      <c r="D56">
        <f>VLOOKUP(A56,收盤價!A:C,3,0)</f>
        <v>364.5</v>
      </c>
      <c r="E56" s="187">
        <v>0.80893300248138955</v>
      </c>
      <c r="F56">
        <v>96.47</v>
      </c>
    </row>
    <row r="57" spans="1:6">
      <c r="A57">
        <v>2364</v>
      </c>
      <c r="B57" t="s">
        <v>840</v>
      </c>
      <c r="C57">
        <v>1.47</v>
      </c>
      <c r="D57">
        <f>VLOOKUP(A57,收盤價!A:C,3,0)</f>
        <v>2.65</v>
      </c>
      <c r="E57" s="187">
        <v>0.80272108843537415</v>
      </c>
      <c r="F57">
        <v>96.4</v>
      </c>
    </row>
    <row r="58" spans="1:6">
      <c r="A58">
        <v>3038</v>
      </c>
      <c r="B58" t="s">
        <v>1078</v>
      </c>
      <c r="C58">
        <v>5.83</v>
      </c>
      <c r="D58">
        <f>VLOOKUP(A58,收盤價!A:C,3,0)</f>
        <v>10.45</v>
      </c>
      <c r="E58" s="187">
        <v>0.79245283018867907</v>
      </c>
      <c r="F58">
        <v>96.34</v>
      </c>
    </row>
    <row r="59" spans="1:6">
      <c r="A59">
        <v>5315</v>
      </c>
      <c r="B59" t="s">
        <v>1658</v>
      </c>
      <c r="C59">
        <v>13.6</v>
      </c>
      <c r="D59">
        <f>VLOOKUP(A59,收盤價!A:C,3,0)</f>
        <v>24.3</v>
      </c>
      <c r="E59" s="187">
        <v>0.78676470588235303</v>
      </c>
      <c r="F59">
        <v>96.28</v>
      </c>
    </row>
    <row r="60" spans="1:6">
      <c r="A60">
        <v>4984</v>
      </c>
      <c r="B60" t="s">
        <v>1224</v>
      </c>
      <c r="C60">
        <v>23</v>
      </c>
      <c r="D60">
        <f>VLOOKUP(A60,收盤價!A:C,3,0)</f>
        <v>41</v>
      </c>
      <c r="E60" s="187">
        <v>0.78260869565217395</v>
      </c>
      <c r="F60">
        <v>96.21</v>
      </c>
    </row>
    <row r="61" spans="1:6">
      <c r="A61">
        <v>3694</v>
      </c>
      <c r="B61" t="s">
        <v>1173</v>
      </c>
      <c r="C61">
        <v>10.35</v>
      </c>
      <c r="D61">
        <f>VLOOKUP(A61,收盤價!A:C,3,0)</f>
        <v>18.399999999999999</v>
      </c>
      <c r="E61" s="187">
        <v>0.77777777777777768</v>
      </c>
      <c r="F61">
        <v>96.15</v>
      </c>
    </row>
    <row r="62" spans="1:6">
      <c r="A62">
        <v>1704</v>
      </c>
      <c r="B62" t="s">
        <v>701</v>
      </c>
      <c r="C62">
        <v>16.8</v>
      </c>
      <c r="D62">
        <f>VLOOKUP(A62,收盤價!A:C,3,0)</f>
        <v>29.75</v>
      </c>
      <c r="E62" s="187">
        <v>0.77083333333333326</v>
      </c>
      <c r="F62">
        <v>96.09</v>
      </c>
    </row>
    <row r="63" spans="1:6">
      <c r="A63">
        <v>3519</v>
      </c>
      <c r="B63" t="s">
        <v>1140</v>
      </c>
      <c r="C63">
        <v>9.86</v>
      </c>
      <c r="D63">
        <f>VLOOKUP(A63,收盤價!A:C,3,0)</f>
        <v>17.399999999999999</v>
      </c>
      <c r="E63" s="187">
        <v>0.76470588235294112</v>
      </c>
      <c r="F63">
        <v>96.03</v>
      </c>
    </row>
    <row r="64" spans="1:6">
      <c r="A64">
        <v>4164</v>
      </c>
      <c r="B64" t="s">
        <v>1190</v>
      </c>
      <c r="C64">
        <v>38.200000000000003</v>
      </c>
      <c r="D64">
        <f>VLOOKUP(A64,收盤價!A:C,3,0)</f>
        <v>67.400000000000006</v>
      </c>
      <c r="E64" s="187">
        <v>0.76439790575916233</v>
      </c>
      <c r="F64">
        <v>95.96</v>
      </c>
    </row>
    <row r="65" spans="1:6">
      <c r="A65">
        <v>4102</v>
      </c>
      <c r="B65" t="s">
        <v>1562</v>
      </c>
      <c r="C65">
        <v>15.9</v>
      </c>
      <c r="D65">
        <f>VLOOKUP(A65,收盤價!A:C,3,0)</f>
        <v>28</v>
      </c>
      <c r="E65" s="187">
        <v>0.76100628930817604</v>
      </c>
      <c r="F65">
        <v>95.9</v>
      </c>
    </row>
    <row r="66" spans="1:6">
      <c r="A66">
        <v>4111</v>
      </c>
      <c r="B66" t="s">
        <v>1567</v>
      </c>
      <c r="C66">
        <v>16.25</v>
      </c>
      <c r="D66">
        <f>VLOOKUP(A66,收盤價!A:C,3,0)</f>
        <v>28.6</v>
      </c>
      <c r="E66" s="187">
        <v>0.76000000000000012</v>
      </c>
      <c r="F66">
        <v>95.84</v>
      </c>
    </row>
    <row r="67" spans="1:6">
      <c r="A67">
        <v>2425</v>
      </c>
      <c r="B67" t="s">
        <v>881</v>
      </c>
      <c r="C67">
        <v>12</v>
      </c>
      <c r="D67">
        <f>VLOOKUP(A67,收盤價!A:C,3,0)</f>
        <v>21.1</v>
      </c>
      <c r="E67" s="187">
        <v>0.75833333333333341</v>
      </c>
      <c r="F67">
        <v>95.77</v>
      </c>
    </row>
    <row r="68" spans="1:6">
      <c r="A68">
        <v>3322</v>
      </c>
      <c r="B68" t="s">
        <v>1508</v>
      </c>
      <c r="C68">
        <v>6.2</v>
      </c>
      <c r="D68">
        <f>VLOOKUP(A68,收盤價!A:C,3,0)</f>
        <v>10.9</v>
      </c>
      <c r="E68" s="187">
        <v>0.75806451612903225</v>
      </c>
      <c r="F68">
        <v>95.71</v>
      </c>
    </row>
    <row r="69" spans="1:6">
      <c r="A69">
        <v>8404</v>
      </c>
      <c r="B69" t="s">
        <v>1365</v>
      </c>
      <c r="C69">
        <v>21.7</v>
      </c>
      <c r="D69">
        <f>VLOOKUP(A69,收盤價!A:C,3,0)</f>
        <v>38</v>
      </c>
      <c r="E69" s="187">
        <v>0.75115207373271897</v>
      </c>
      <c r="F69">
        <v>95.65</v>
      </c>
    </row>
    <row r="70" spans="1:6">
      <c r="A70">
        <v>2374</v>
      </c>
      <c r="B70" t="s">
        <v>847</v>
      </c>
      <c r="C70">
        <v>13.45</v>
      </c>
      <c r="D70">
        <f>VLOOKUP(A70,收盤價!A:C,3,0)</f>
        <v>23.55</v>
      </c>
      <c r="E70" s="187">
        <v>0.75092936802973997</v>
      </c>
      <c r="F70">
        <v>95.58</v>
      </c>
    </row>
    <row r="71" spans="1:6">
      <c r="A71">
        <v>8171</v>
      </c>
      <c r="B71" t="s">
        <v>1811</v>
      </c>
      <c r="C71">
        <v>5.69</v>
      </c>
      <c r="D71">
        <f>VLOOKUP(A71,收盤價!A:C,3,0)</f>
        <v>9.9499999999999993</v>
      </c>
      <c r="E71" s="187">
        <v>0.74868189806678354</v>
      </c>
      <c r="F71">
        <v>95.52</v>
      </c>
    </row>
    <row r="72" spans="1:6">
      <c r="A72">
        <v>8176</v>
      </c>
      <c r="B72" t="s">
        <v>1812</v>
      </c>
      <c r="C72">
        <v>5.13</v>
      </c>
      <c r="D72">
        <f>VLOOKUP(A72,收盤價!A:C,3,0)</f>
        <v>8.9700000000000006</v>
      </c>
      <c r="E72" s="187">
        <v>0.74853801169590661</v>
      </c>
      <c r="F72">
        <v>95.46</v>
      </c>
    </row>
    <row r="73" spans="1:6">
      <c r="A73">
        <v>8201</v>
      </c>
      <c r="B73" t="s">
        <v>1355</v>
      </c>
      <c r="C73">
        <v>5.51</v>
      </c>
      <c r="D73">
        <f>VLOOKUP(A73,收盤價!A:C,3,0)</f>
        <v>9.6199999999999992</v>
      </c>
      <c r="E73" s="187">
        <v>0.74591651542649717</v>
      </c>
      <c r="F73">
        <v>95.39</v>
      </c>
    </row>
    <row r="74" spans="1:6">
      <c r="A74">
        <v>8341</v>
      </c>
      <c r="B74" t="s">
        <v>1363</v>
      </c>
      <c r="C74">
        <v>80.2</v>
      </c>
      <c r="D74">
        <f>VLOOKUP(A74,收盤價!A:C,3,0)</f>
        <v>140</v>
      </c>
      <c r="E74" s="187">
        <v>0.74563591022443887</v>
      </c>
      <c r="F74">
        <v>95.33</v>
      </c>
    </row>
    <row r="75" spans="1:6">
      <c r="A75">
        <v>4721</v>
      </c>
      <c r="B75" t="s">
        <v>390</v>
      </c>
      <c r="C75">
        <v>16.600000000000001</v>
      </c>
      <c r="D75">
        <f>VLOOKUP(A75,收盤價!A:C,3,0)</f>
        <v>28.9</v>
      </c>
      <c r="E75" s="187">
        <v>0.74096385542168652</v>
      </c>
      <c r="F75">
        <v>95.27</v>
      </c>
    </row>
    <row r="76" spans="1:6">
      <c r="A76">
        <v>8277</v>
      </c>
      <c r="B76" t="s">
        <v>1818</v>
      </c>
      <c r="C76">
        <v>4.34</v>
      </c>
      <c r="D76">
        <f>VLOOKUP(A76,收盤價!A:C,3,0)</f>
        <v>7.55</v>
      </c>
      <c r="E76" s="187">
        <v>0.73963133640552992</v>
      </c>
      <c r="F76">
        <v>95.21</v>
      </c>
    </row>
    <row r="77" spans="1:6">
      <c r="A77">
        <v>6230</v>
      </c>
      <c r="B77" t="s">
        <v>1304</v>
      </c>
      <c r="C77">
        <v>45.4</v>
      </c>
      <c r="D77">
        <f>VLOOKUP(A77,收盤價!A:C,3,0)</f>
        <v>78.900000000000006</v>
      </c>
      <c r="E77" s="187">
        <v>0.73788546255506626</v>
      </c>
      <c r="F77">
        <v>95.14</v>
      </c>
    </row>
    <row r="78" spans="1:6">
      <c r="A78">
        <v>3406</v>
      </c>
      <c r="B78" t="s">
        <v>1123</v>
      </c>
      <c r="C78">
        <v>40.950000000000003</v>
      </c>
      <c r="D78">
        <f>VLOOKUP(A78,收盤價!A:C,3,0)</f>
        <v>71</v>
      </c>
      <c r="E78" s="187">
        <v>0.73382173382173366</v>
      </c>
      <c r="F78">
        <v>95.08</v>
      </c>
    </row>
    <row r="79" spans="1:6">
      <c r="A79">
        <v>2492</v>
      </c>
      <c r="B79" t="s">
        <v>934</v>
      </c>
      <c r="C79">
        <v>10.15</v>
      </c>
      <c r="D79">
        <f>VLOOKUP(A79,收盤價!A:C,3,0)</f>
        <v>17.55</v>
      </c>
      <c r="E79" s="187">
        <v>0.72906403940886699</v>
      </c>
      <c r="F79">
        <v>95.02</v>
      </c>
    </row>
    <row r="80" spans="1:6">
      <c r="A80">
        <v>2426</v>
      </c>
      <c r="B80" t="s">
        <v>882</v>
      </c>
      <c r="C80">
        <v>9.27</v>
      </c>
      <c r="D80">
        <f>VLOOKUP(A80,收盤價!A:C,3,0)</f>
        <v>16</v>
      </c>
      <c r="E80" s="187">
        <v>0.72599784250269694</v>
      </c>
      <c r="F80">
        <v>94.95</v>
      </c>
    </row>
    <row r="81" spans="1:6">
      <c r="A81">
        <v>3541</v>
      </c>
      <c r="B81" t="s">
        <v>1536</v>
      </c>
      <c r="C81">
        <v>42.4</v>
      </c>
      <c r="D81">
        <f>VLOOKUP(A81,收盤價!A:C,3,0)</f>
        <v>73</v>
      </c>
      <c r="E81" s="187">
        <v>0.72169811320754718</v>
      </c>
      <c r="F81">
        <v>94.89</v>
      </c>
    </row>
    <row r="82" spans="1:6">
      <c r="A82">
        <v>3666</v>
      </c>
      <c r="B82" t="s">
        <v>359</v>
      </c>
      <c r="C82">
        <v>12.5</v>
      </c>
      <c r="D82">
        <f>VLOOKUP(A82,收盤價!A:C,3,0)</f>
        <v>21.5</v>
      </c>
      <c r="E82" s="187">
        <v>0.72</v>
      </c>
      <c r="F82">
        <v>94.83</v>
      </c>
    </row>
    <row r="83" spans="1:6">
      <c r="A83">
        <v>3083</v>
      </c>
      <c r="B83" t="s">
        <v>1474</v>
      </c>
      <c r="C83">
        <v>21</v>
      </c>
      <c r="D83">
        <f>VLOOKUP(A83,收盤價!A:C,3,0)</f>
        <v>36.1</v>
      </c>
      <c r="E83" s="187">
        <v>0.71904761904761916</v>
      </c>
      <c r="F83">
        <v>94.76</v>
      </c>
    </row>
    <row r="84" spans="1:6">
      <c r="A84">
        <v>3413</v>
      </c>
      <c r="B84" t="s">
        <v>1124</v>
      </c>
      <c r="C84">
        <v>44.1</v>
      </c>
      <c r="D84">
        <f>VLOOKUP(A84,收盤價!A:C,3,0)</f>
        <v>75.8</v>
      </c>
      <c r="E84" s="187">
        <v>0.71882086167800441</v>
      </c>
      <c r="F84">
        <v>94.7</v>
      </c>
    </row>
    <row r="85" spans="1:6">
      <c r="A85">
        <v>3687</v>
      </c>
      <c r="B85" t="s">
        <v>361</v>
      </c>
      <c r="C85">
        <v>38.75</v>
      </c>
      <c r="D85">
        <f>VLOOKUP(A85,收盤價!A:C,3,0)</f>
        <v>66.599999999999994</v>
      </c>
      <c r="E85" s="187">
        <v>0.71870967741935465</v>
      </c>
      <c r="F85">
        <v>94.64</v>
      </c>
    </row>
    <row r="86" spans="1:6">
      <c r="A86">
        <v>3221</v>
      </c>
      <c r="B86" t="s">
        <v>1493</v>
      </c>
      <c r="C86">
        <v>11.15</v>
      </c>
      <c r="D86">
        <f>VLOOKUP(A86,收盤價!A:C,3,0)</f>
        <v>19.100000000000001</v>
      </c>
      <c r="E86" s="187">
        <v>0.7130044843049328</v>
      </c>
      <c r="F86">
        <v>94.57</v>
      </c>
    </row>
    <row r="87" spans="1:6">
      <c r="A87">
        <v>3508</v>
      </c>
      <c r="B87" t="s">
        <v>336</v>
      </c>
      <c r="C87">
        <v>9.0500000000000007</v>
      </c>
      <c r="D87">
        <f>VLOOKUP(A87,收盤價!A:C,3,0)</f>
        <v>15.5</v>
      </c>
      <c r="E87" s="187">
        <v>0.71270718232044183</v>
      </c>
      <c r="F87">
        <v>94.51</v>
      </c>
    </row>
    <row r="88" spans="1:6">
      <c r="A88">
        <v>1789</v>
      </c>
      <c r="B88" t="s">
        <v>734</v>
      </c>
      <c r="C88">
        <v>32.15</v>
      </c>
      <c r="D88">
        <f>VLOOKUP(A88,收盤價!A:C,3,0)</f>
        <v>55</v>
      </c>
      <c r="E88" s="187">
        <v>0.71073094867807163</v>
      </c>
      <c r="F88">
        <v>94.45</v>
      </c>
    </row>
    <row r="89" spans="1:6">
      <c r="A89">
        <v>8080</v>
      </c>
      <c r="B89" t="s">
        <v>506</v>
      </c>
      <c r="C89">
        <v>8.35</v>
      </c>
      <c r="D89">
        <f>VLOOKUP(A89,收盤價!A:C,3,0)</f>
        <v>14.25</v>
      </c>
      <c r="E89" s="187">
        <v>0.70658682634730541</v>
      </c>
      <c r="F89">
        <v>94.38</v>
      </c>
    </row>
    <row r="90" spans="1:6">
      <c r="A90">
        <v>6244</v>
      </c>
      <c r="B90" t="s">
        <v>483</v>
      </c>
      <c r="C90">
        <v>25.55</v>
      </c>
      <c r="D90">
        <f>VLOOKUP(A90,收盤價!A:C,3,0)</f>
        <v>43.5</v>
      </c>
      <c r="E90" s="187">
        <v>0.7025440313111545</v>
      </c>
      <c r="F90">
        <v>94.32</v>
      </c>
    </row>
    <row r="91" spans="1:6">
      <c r="A91">
        <v>4735</v>
      </c>
      <c r="B91" t="s">
        <v>1617</v>
      </c>
      <c r="C91">
        <v>17.600000000000001</v>
      </c>
      <c r="D91">
        <f>VLOOKUP(A91,收盤價!A:C,3,0)</f>
        <v>29.95</v>
      </c>
      <c r="E91" s="187">
        <v>0.7017045454545453</v>
      </c>
      <c r="F91">
        <v>94.26</v>
      </c>
    </row>
    <row r="92" spans="1:6">
      <c r="A92">
        <v>3552</v>
      </c>
      <c r="B92" t="s">
        <v>1538</v>
      </c>
      <c r="C92">
        <v>167.5</v>
      </c>
      <c r="D92">
        <f>VLOOKUP(A92,收盤價!A:C,3,0)</f>
        <v>285</v>
      </c>
      <c r="E92" s="187">
        <v>0.70149253731343286</v>
      </c>
      <c r="F92">
        <v>94.2</v>
      </c>
    </row>
    <row r="93" spans="1:6">
      <c r="A93">
        <v>4162</v>
      </c>
      <c r="B93" t="s">
        <v>370</v>
      </c>
      <c r="C93">
        <v>140.5</v>
      </c>
      <c r="D93">
        <f>VLOOKUP(A93,收盤價!A:C,3,0)</f>
        <v>238</v>
      </c>
      <c r="E93" s="187">
        <v>0.69395017793594305</v>
      </c>
      <c r="F93">
        <v>94.13</v>
      </c>
    </row>
    <row r="94" spans="1:6">
      <c r="A94">
        <v>4142</v>
      </c>
      <c r="B94" t="s">
        <v>1188</v>
      </c>
      <c r="C94">
        <v>15.65</v>
      </c>
      <c r="D94">
        <f>VLOOKUP(A94,收盤價!A:C,3,0)</f>
        <v>26.5</v>
      </c>
      <c r="E94" s="187">
        <v>0.69329073482428116</v>
      </c>
      <c r="F94">
        <v>94.07</v>
      </c>
    </row>
    <row r="95" spans="1:6">
      <c r="A95">
        <v>3078</v>
      </c>
      <c r="B95" t="s">
        <v>1472</v>
      </c>
      <c r="C95">
        <v>11.85</v>
      </c>
      <c r="D95">
        <f>VLOOKUP(A95,收盤價!A:C,3,0)</f>
        <v>20.05</v>
      </c>
      <c r="E95" s="187">
        <v>0.6919831223628693</v>
      </c>
      <c r="F95">
        <v>94.01</v>
      </c>
    </row>
    <row r="96" spans="1:6">
      <c r="A96">
        <v>3561</v>
      </c>
      <c r="B96" t="s">
        <v>1149</v>
      </c>
      <c r="C96">
        <v>11</v>
      </c>
      <c r="D96">
        <f>VLOOKUP(A96,收盤價!A:C,3,0)</f>
        <v>18.600000000000001</v>
      </c>
      <c r="E96" s="187">
        <v>0.69090909090909103</v>
      </c>
      <c r="F96">
        <v>93.94</v>
      </c>
    </row>
    <row r="97" spans="1:6">
      <c r="A97">
        <v>2496</v>
      </c>
      <c r="B97" t="s">
        <v>937</v>
      </c>
      <c r="C97">
        <v>7.6</v>
      </c>
      <c r="D97">
        <f>VLOOKUP(A97,收盤價!A:C,3,0)</f>
        <v>12.85</v>
      </c>
      <c r="E97" s="187">
        <v>0.69078947368421051</v>
      </c>
      <c r="F97">
        <v>93.88</v>
      </c>
    </row>
    <row r="98" spans="1:6">
      <c r="A98">
        <v>4736</v>
      </c>
      <c r="B98" t="s">
        <v>393</v>
      </c>
      <c r="C98">
        <v>64.5</v>
      </c>
      <c r="D98">
        <f>VLOOKUP(A98,收盤價!A:C,3,0)</f>
        <v>109</v>
      </c>
      <c r="E98" s="187">
        <v>0.68992248062015504</v>
      </c>
      <c r="F98">
        <v>93.82</v>
      </c>
    </row>
    <row r="99" spans="1:6">
      <c r="A99">
        <v>8215</v>
      </c>
      <c r="B99" t="s">
        <v>1358</v>
      </c>
      <c r="C99">
        <v>13.85</v>
      </c>
      <c r="D99">
        <f>VLOOKUP(A99,收盤價!A:C,3,0)</f>
        <v>23.15</v>
      </c>
      <c r="E99" s="187">
        <v>0.67148014440433212</v>
      </c>
      <c r="F99">
        <v>93.75</v>
      </c>
    </row>
    <row r="100" spans="1:6">
      <c r="A100">
        <v>8038</v>
      </c>
      <c r="B100" t="s">
        <v>501</v>
      </c>
      <c r="C100">
        <v>23.95</v>
      </c>
      <c r="D100">
        <f>VLOOKUP(A100,收盤價!A:C,3,0)</f>
        <v>40</v>
      </c>
      <c r="E100" s="187">
        <v>0.67014613778705645</v>
      </c>
      <c r="F100">
        <v>93.69</v>
      </c>
    </row>
    <row r="101" spans="1:6">
      <c r="A101">
        <v>4129</v>
      </c>
      <c r="B101" t="s">
        <v>1573</v>
      </c>
      <c r="C101">
        <v>47.25</v>
      </c>
      <c r="D101">
        <f>VLOOKUP(A101,收盤價!A:C,3,0)</f>
        <v>78.8</v>
      </c>
      <c r="E101" s="187">
        <v>0.66772486772486761</v>
      </c>
      <c r="F101">
        <v>93.63</v>
      </c>
    </row>
    <row r="102" spans="1:6">
      <c r="A102">
        <v>3686</v>
      </c>
      <c r="B102" t="s">
        <v>1172</v>
      </c>
      <c r="C102">
        <v>4.91</v>
      </c>
      <c r="D102">
        <f>VLOOKUP(A102,收盤價!A:C,3,0)</f>
        <v>8.18</v>
      </c>
      <c r="E102" s="187">
        <v>0.66598778004073311</v>
      </c>
      <c r="F102">
        <v>93.56</v>
      </c>
    </row>
    <row r="103" spans="1:6">
      <c r="A103">
        <v>3596</v>
      </c>
      <c r="B103" t="s">
        <v>1158</v>
      </c>
      <c r="C103">
        <v>19.2</v>
      </c>
      <c r="D103">
        <f>VLOOKUP(A103,收盤價!A:C,3,0)</f>
        <v>31.95</v>
      </c>
      <c r="E103" s="187">
        <v>0.6640625</v>
      </c>
      <c r="F103">
        <v>93.5</v>
      </c>
    </row>
    <row r="104" spans="1:6">
      <c r="A104">
        <v>1720</v>
      </c>
      <c r="B104" t="s">
        <v>713</v>
      </c>
      <c r="C104">
        <v>25.1</v>
      </c>
      <c r="D104">
        <f>VLOOKUP(A104,收盤價!A:C,3,0)</f>
        <v>41.75</v>
      </c>
      <c r="E104" s="187">
        <v>0.66334661354581659</v>
      </c>
      <c r="F104">
        <v>93.44</v>
      </c>
    </row>
    <row r="105" spans="1:6">
      <c r="A105">
        <v>3376</v>
      </c>
      <c r="B105" t="s">
        <v>1120</v>
      </c>
      <c r="C105">
        <v>69.5</v>
      </c>
      <c r="D105">
        <f>VLOOKUP(A105,收盤價!A:C,3,0)</f>
        <v>115.5</v>
      </c>
      <c r="E105" s="187">
        <v>0.66187050359712229</v>
      </c>
      <c r="F105">
        <v>93.38</v>
      </c>
    </row>
    <row r="106" spans="1:6">
      <c r="A106">
        <v>3234</v>
      </c>
      <c r="B106" t="s">
        <v>305</v>
      </c>
      <c r="C106">
        <v>60.5</v>
      </c>
      <c r="D106">
        <f>VLOOKUP(A106,收盤價!A:C,3,0)</f>
        <v>100.5</v>
      </c>
      <c r="E106" s="187">
        <v>0.66115702479338845</v>
      </c>
      <c r="F106">
        <v>93.31</v>
      </c>
    </row>
    <row r="107" spans="1:6">
      <c r="A107">
        <v>3164</v>
      </c>
      <c r="B107" t="s">
        <v>1104</v>
      </c>
      <c r="C107">
        <v>18.5</v>
      </c>
      <c r="D107">
        <f>VLOOKUP(A107,收盤價!A:C,3,0)</f>
        <v>30.7</v>
      </c>
      <c r="E107" s="187">
        <v>0.65945945945945939</v>
      </c>
      <c r="F107">
        <v>93.25</v>
      </c>
    </row>
    <row r="108" spans="1:6">
      <c r="A108">
        <v>3587</v>
      </c>
      <c r="B108" t="s">
        <v>1546</v>
      </c>
      <c r="C108">
        <v>34</v>
      </c>
      <c r="D108">
        <f>VLOOKUP(A108,收盤價!A:C,3,0)</f>
        <v>56.4</v>
      </c>
      <c r="E108" s="187">
        <v>0.6588235294117647</v>
      </c>
      <c r="F108">
        <v>93.19</v>
      </c>
    </row>
    <row r="109" spans="1:6">
      <c r="A109">
        <v>2614</v>
      </c>
      <c r="B109" t="s">
        <v>980</v>
      </c>
      <c r="C109">
        <v>4.5199999999999996</v>
      </c>
      <c r="D109">
        <f>VLOOKUP(A109,收盤價!A:C,3,0)</f>
        <v>7.48</v>
      </c>
      <c r="E109" s="187">
        <v>0.65486725663716838</v>
      </c>
      <c r="F109">
        <v>93.12</v>
      </c>
    </row>
    <row r="110" spans="1:6">
      <c r="A110">
        <v>6411</v>
      </c>
      <c r="B110" t="s">
        <v>494</v>
      </c>
      <c r="C110">
        <v>19.25</v>
      </c>
      <c r="D110">
        <f>VLOOKUP(A110,收盤價!A:C,3,0)</f>
        <v>31.75</v>
      </c>
      <c r="E110" s="187">
        <v>0.64935064935064934</v>
      </c>
      <c r="F110">
        <v>93.06</v>
      </c>
    </row>
    <row r="111" spans="1:6">
      <c r="A111">
        <v>6114</v>
      </c>
      <c r="B111" t="s">
        <v>1864</v>
      </c>
      <c r="C111">
        <v>33.4</v>
      </c>
      <c r="D111">
        <f>VLOOKUP(A111,收盤價!A:C,3,0)</f>
        <v>55</v>
      </c>
      <c r="E111" s="187">
        <v>0.64670658682634741</v>
      </c>
      <c r="F111">
        <v>93</v>
      </c>
    </row>
    <row r="112" spans="1:6">
      <c r="A112">
        <v>3373</v>
      </c>
      <c r="B112" t="s">
        <v>324</v>
      </c>
      <c r="C112">
        <v>16.899999999999999</v>
      </c>
      <c r="D112">
        <f>VLOOKUP(A112,收盤價!A:C,3,0)</f>
        <v>27.8</v>
      </c>
      <c r="E112" s="187">
        <v>0.64497041420118362</v>
      </c>
      <c r="F112">
        <v>92.93</v>
      </c>
    </row>
    <row r="113" spans="1:6">
      <c r="A113">
        <v>6170</v>
      </c>
      <c r="B113" t="s">
        <v>462</v>
      </c>
      <c r="C113">
        <v>6.12</v>
      </c>
      <c r="D113">
        <f>VLOOKUP(A113,收盤價!A:C,3,0)</f>
        <v>10.050000000000001</v>
      </c>
      <c r="E113" s="187">
        <v>0.64215686274509809</v>
      </c>
      <c r="F113">
        <v>92.87</v>
      </c>
    </row>
    <row r="114" spans="1:6">
      <c r="A114">
        <v>4402</v>
      </c>
      <c r="B114" t="s">
        <v>378</v>
      </c>
      <c r="C114">
        <v>3.56</v>
      </c>
      <c r="D114">
        <f>VLOOKUP(A114,收盤價!A:C,3,0)</f>
        <v>5.84</v>
      </c>
      <c r="E114" s="187">
        <v>0.64044943820224709</v>
      </c>
      <c r="F114">
        <v>92.81</v>
      </c>
    </row>
    <row r="115" spans="1:6">
      <c r="A115">
        <v>1586</v>
      </c>
      <c r="B115" t="s">
        <v>1444</v>
      </c>
      <c r="C115">
        <v>19.850000000000001</v>
      </c>
      <c r="D115">
        <f>VLOOKUP(A115,收盤價!A:C,3,0)</f>
        <v>32.549999999999997</v>
      </c>
      <c r="E115" s="187">
        <v>0.63979848866498712</v>
      </c>
      <c r="F115">
        <v>92.74</v>
      </c>
    </row>
    <row r="116" spans="1:6">
      <c r="A116">
        <v>4426</v>
      </c>
      <c r="B116" t="s">
        <v>1193</v>
      </c>
      <c r="C116">
        <v>110.5</v>
      </c>
      <c r="D116">
        <f>VLOOKUP(A116,收盤價!A:C,3,0)</f>
        <v>181</v>
      </c>
      <c r="E116" s="187">
        <v>0.63800904977375561</v>
      </c>
      <c r="F116">
        <v>92.68</v>
      </c>
    </row>
    <row r="117" spans="1:6">
      <c r="A117">
        <v>3499</v>
      </c>
      <c r="B117" t="s">
        <v>335</v>
      </c>
      <c r="C117">
        <v>15.15</v>
      </c>
      <c r="D117">
        <f>VLOOKUP(A117,收盤價!A:C,3,0)</f>
        <v>24.8</v>
      </c>
      <c r="E117" s="187">
        <v>0.63696369636963701</v>
      </c>
      <c r="F117">
        <v>92.62</v>
      </c>
    </row>
    <row r="118" spans="1:6">
      <c r="A118">
        <v>2413</v>
      </c>
      <c r="B118" t="s">
        <v>872</v>
      </c>
      <c r="C118">
        <v>8.86</v>
      </c>
      <c r="D118">
        <f>VLOOKUP(A118,收盤價!A:C,3,0)</f>
        <v>14.5</v>
      </c>
      <c r="E118" s="187">
        <v>0.63656884875846509</v>
      </c>
      <c r="F118">
        <v>92.56</v>
      </c>
    </row>
    <row r="119" spans="1:6">
      <c r="A119">
        <v>6609</v>
      </c>
      <c r="B119" t="s">
        <v>499</v>
      </c>
      <c r="C119">
        <v>18.2</v>
      </c>
      <c r="D119">
        <f>VLOOKUP(A119,收盤價!A:C,3,0)</f>
        <v>29.6</v>
      </c>
      <c r="E119" s="187">
        <v>0.62637362637362648</v>
      </c>
      <c r="F119">
        <v>92.49</v>
      </c>
    </row>
    <row r="120" spans="1:6">
      <c r="A120">
        <v>4130</v>
      </c>
      <c r="B120" t="s">
        <v>367</v>
      </c>
      <c r="C120">
        <v>28.8</v>
      </c>
      <c r="D120">
        <f>VLOOKUP(A120,收盤價!A:C,3,0)</f>
        <v>46.8</v>
      </c>
      <c r="E120" s="187">
        <v>0.62499999999999989</v>
      </c>
      <c r="F120">
        <v>92.43</v>
      </c>
    </row>
    <row r="121" spans="1:6">
      <c r="A121">
        <v>3086</v>
      </c>
      <c r="B121" t="s">
        <v>1475</v>
      </c>
      <c r="C121">
        <v>7.76</v>
      </c>
      <c r="D121">
        <f>VLOOKUP(A121,收盤價!A:C,3,0)</f>
        <v>12.6</v>
      </c>
      <c r="E121" s="187">
        <v>0.62371134020618557</v>
      </c>
      <c r="F121">
        <v>92.37</v>
      </c>
    </row>
    <row r="122" spans="1:6">
      <c r="A122">
        <v>8436</v>
      </c>
      <c r="B122" t="s">
        <v>1834</v>
      </c>
      <c r="C122">
        <v>63.5</v>
      </c>
      <c r="D122">
        <f>VLOOKUP(A122,收盤價!A:C,3,0)</f>
        <v>103</v>
      </c>
      <c r="E122" s="187">
        <v>0.62204724409448819</v>
      </c>
      <c r="F122">
        <v>92.3</v>
      </c>
    </row>
    <row r="123" spans="1:6">
      <c r="A123">
        <v>2388</v>
      </c>
      <c r="B123" t="s">
        <v>857</v>
      </c>
      <c r="C123">
        <v>5</v>
      </c>
      <c r="D123">
        <f>VLOOKUP(A123,收盤價!A:C,3,0)</f>
        <v>8.09</v>
      </c>
      <c r="E123" s="187">
        <v>0.61799999999999999</v>
      </c>
      <c r="F123">
        <v>92.24</v>
      </c>
    </row>
    <row r="124" spans="1:6">
      <c r="A124">
        <v>8446</v>
      </c>
      <c r="B124" t="s">
        <v>1836</v>
      </c>
      <c r="C124">
        <v>62.5</v>
      </c>
      <c r="D124">
        <f>VLOOKUP(A124,收盤價!A:C,3,0)</f>
        <v>101</v>
      </c>
      <c r="E124" s="187">
        <v>0.61599999999999999</v>
      </c>
      <c r="F124">
        <v>92.18</v>
      </c>
    </row>
    <row r="125" spans="1:6">
      <c r="A125">
        <v>3236</v>
      </c>
      <c r="B125" t="s">
        <v>306</v>
      </c>
      <c r="C125">
        <v>8.2100000000000009</v>
      </c>
      <c r="D125">
        <f>VLOOKUP(A125,收盤價!A:C,3,0)</f>
        <v>13.25</v>
      </c>
      <c r="E125" s="187">
        <v>0.61388550548112042</v>
      </c>
      <c r="F125">
        <v>92.11</v>
      </c>
    </row>
    <row r="126" spans="1:6">
      <c r="A126">
        <v>4171</v>
      </c>
      <c r="B126" t="s">
        <v>1582</v>
      </c>
      <c r="C126">
        <v>24.6</v>
      </c>
      <c r="D126">
        <f>VLOOKUP(A126,收盤價!A:C,3,0)</f>
        <v>39.700000000000003</v>
      </c>
      <c r="E126" s="187">
        <v>0.61382113821138218</v>
      </c>
      <c r="F126">
        <v>92.05</v>
      </c>
    </row>
    <row r="127" spans="1:6">
      <c r="A127">
        <v>2457</v>
      </c>
      <c r="B127" t="s">
        <v>907</v>
      </c>
      <c r="C127">
        <v>6.82</v>
      </c>
      <c r="D127">
        <f>VLOOKUP(A127,收盤價!A:C,3,0)</f>
        <v>11</v>
      </c>
      <c r="E127" s="187">
        <v>0.61290322580645151</v>
      </c>
      <c r="F127">
        <v>91.99</v>
      </c>
    </row>
    <row r="128" spans="1:6">
      <c r="A128">
        <v>5425</v>
      </c>
      <c r="B128" t="s">
        <v>430</v>
      </c>
      <c r="C128">
        <v>21.15</v>
      </c>
      <c r="D128">
        <f>VLOOKUP(A128,收盤價!A:C,3,0)</f>
        <v>34.1</v>
      </c>
      <c r="E128" s="187">
        <v>0.61229314420803804</v>
      </c>
      <c r="F128">
        <v>91.92</v>
      </c>
    </row>
    <row r="129" spans="1:6">
      <c r="A129">
        <v>5483</v>
      </c>
      <c r="B129" t="s">
        <v>1683</v>
      </c>
      <c r="C129">
        <v>27.45</v>
      </c>
      <c r="D129">
        <f>VLOOKUP(A129,收盤價!A:C,3,0)</f>
        <v>44.2</v>
      </c>
      <c r="E129" s="187">
        <v>0.61020036429872515</v>
      </c>
      <c r="F129">
        <v>91.86</v>
      </c>
    </row>
    <row r="130" spans="1:6">
      <c r="A130">
        <v>9136</v>
      </c>
      <c r="B130" t="s">
        <v>1395</v>
      </c>
      <c r="C130">
        <v>11.1</v>
      </c>
      <c r="D130">
        <f>VLOOKUP(A130,收盤價!A:C,3,0)</f>
        <v>17.8</v>
      </c>
      <c r="E130" s="187">
        <v>0.60360360360360377</v>
      </c>
      <c r="F130">
        <v>91.8</v>
      </c>
    </row>
    <row r="131" spans="1:6">
      <c r="A131">
        <v>2485</v>
      </c>
      <c r="B131" t="s">
        <v>929</v>
      </c>
      <c r="C131">
        <v>29.5</v>
      </c>
      <c r="D131">
        <f>VLOOKUP(A131,收盤價!A:C,3,0)</f>
        <v>47.3</v>
      </c>
      <c r="E131" s="187">
        <v>0.6033898305084745</v>
      </c>
      <c r="F131">
        <v>91.74</v>
      </c>
    </row>
    <row r="132" spans="1:6">
      <c r="A132">
        <v>4415</v>
      </c>
      <c r="B132" t="s">
        <v>1593</v>
      </c>
      <c r="C132">
        <v>13.6</v>
      </c>
      <c r="D132">
        <f>VLOOKUP(A132,收盤價!A:C,3,0)</f>
        <v>21.8</v>
      </c>
      <c r="E132" s="187">
        <v>0.60294117647058831</v>
      </c>
      <c r="F132">
        <v>91.67</v>
      </c>
    </row>
    <row r="133" spans="1:6">
      <c r="A133">
        <v>6451</v>
      </c>
      <c r="B133" t="s">
        <v>1330</v>
      </c>
      <c r="C133">
        <v>82.4</v>
      </c>
      <c r="D133">
        <f>VLOOKUP(A133,收盤價!A:C,3,0)</f>
        <v>132</v>
      </c>
      <c r="E133" s="187">
        <v>0.60194174757281538</v>
      </c>
      <c r="F133">
        <v>91.61</v>
      </c>
    </row>
    <row r="134" spans="1:6">
      <c r="A134">
        <v>5225</v>
      </c>
      <c r="B134" t="s">
        <v>1230</v>
      </c>
      <c r="C134">
        <v>33.5</v>
      </c>
      <c r="D134">
        <f>VLOOKUP(A134,收盤價!A:C,3,0)</f>
        <v>53.6</v>
      </c>
      <c r="E134" s="187">
        <v>0.60000000000000009</v>
      </c>
      <c r="F134">
        <v>91.55</v>
      </c>
    </row>
    <row r="135" spans="1:6">
      <c r="A135">
        <v>6285</v>
      </c>
      <c r="B135" t="s">
        <v>1317</v>
      </c>
      <c r="C135">
        <v>55.2</v>
      </c>
      <c r="D135">
        <f>VLOOKUP(A135,收盤價!A:C,3,0)</f>
        <v>88.2</v>
      </c>
      <c r="E135" s="187">
        <v>0.59782608695652173</v>
      </c>
      <c r="F135">
        <v>91.48</v>
      </c>
    </row>
    <row r="136" spans="1:6">
      <c r="A136">
        <v>4133</v>
      </c>
      <c r="B136" t="s">
        <v>1185</v>
      </c>
      <c r="C136">
        <v>24.3</v>
      </c>
      <c r="D136">
        <f>VLOOKUP(A136,收盤價!A:C,3,0)</f>
        <v>38.799999999999997</v>
      </c>
      <c r="E136" s="187">
        <v>0.59670781893004099</v>
      </c>
      <c r="F136">
        <v>91.42</v>
      </c>
    </row>
    <row r="137" spans="1:6">
      <c r="A137">
        <v>8121</v>
      </c>
      <c r="B137" t="s">
        <v>1808</v>
      </c>
      <c r="C137">
        <v>9.68</v>
      </c>
      <c r="D137">
        <f>VLOOKUP(A137,收盤價!A:C,3,0)</f>
        <v>15.45</v>
      </c>
      <c r="E137" s="187">
        <v>0.59607438016528924</v>
      </c>
      <c r="F137">
        <v>91.36</v>
      </c>
    </row>
    <row r="138" spans="1:6">
      <c r="A138">
        <v>4163</v>
      </c>
      <c r="B138" t="s">
        <v>1581</v>
      </c>
      <c r="C138">
        <v>84.9</v>
      </c>
      <c r="D138">
        <f>VLOOKUP(A138,收盤價!A:C,3,0)</f>
        <v>135.5</v>
      </c>
      <c r="E138" s="187">
        <v>0.59599528857479378</v>
      </c>
      <c r="F138">
        <v>91.29</v>
      </c>
    </row>
    <row r="139" spans="1:6">
      <c r="A139">
        <v>4702</v>
      </c>
      <c r="B139" t="s">
        <v>386</v>
      </c>
      <c r="C139">
        <v>9</v>
      </c>
      <c r="D139">
        <f>VLOOKUP(A139,收盤價!A:C,3,0)</f>
        <v>14.35</v>
      </c>
      <c r="E139" s="187">
        <v>0.59444444444444444</v>
      </c>
      <c r="F139">
        <v>91.23</v>
      </c>
    </row>
    <row r="140" spans="1:6">
      <c r="A140">
        <v>3055</v>
      </c>
      <c r="B140" t="s">
        <v>1093</v>
      </c>
      <c r="C140">
        <v>10.199999999999999</v>
      </c>
      <c r="D140">
        <f>VLOOKUP(A140,收盤價!A:C,3,0)</f>
        <v>16.25</v>
      </c>
      <c r="E140" s="187">
        <v>0.5931372549019609</v>
      </c>
      <c r="F140">
        <v>91.17</v>
      </c>
    </row>
    <row r="141" spans="1:6">
      <c r="A141">
        <v>3047</v>
      </c>
      <c r="B141" t="s">
        <v>1086</v>
      </c>
      <c r="C141">
        <v>6.97</v>
      </c>
      <c r="D141">
        <f>VLOOKUP(A141,收盤價!A:C,3,0)</f>
        <v>11.1</v>
      </c>
      <c r="E141" s="187">
        <v>0.59253945480631276</v>
      </c>
      <c r="F141">
        <v>91.1</v>
      </c>
    </row>
    <row r="142" spans="1:6">
      <c r="A142">
        <v>3041</v>
      </c>
      <c r="B142" t="s">
        <v>1080</v>
      </c>
      <c r="C142">
        <v>11.4</v>
      </c>
      <c r="D142">
        <f>VLOOKUP(A142,收盤價!A:C,3,0)</f>
        <v>18.149999999999999</v>
      </c>
      <c r="E142" s="187">
        <v>0.59210526315789458</v>
      </c>
      <c r="F142">
        <v>91.04</v>
      </c>
    </row>
    <row r="143" spans="1:6">
      <c r="A143">
        <v>4745</v>
      </c>
      <c r="B143" t="s">
        <v>1620</v>
      </c>
      <c r="C143">
        <v>44.6</v>
      </c>
      <c r="D143">
        <f>VLOOKUP(A143,收盤價!A:C,3,0)</f>
        <v>71</v>
      </c>
      <c r="E143" s="187">
        <v>0.59192825112107617</v>
      </c>
      <c r="F143">
        <v>90.98</v>
      </c>
    </row>
    <row r="144" spans="1:6">
      <c r="A144">
        <v>3094</v>
      </c>
      <c r="B144" t="s">
        <v>1101</v>
      </c>
      <c r="C144">
        <v>16.850000000000001</v>
      </c>
      <c r="D144">
        <f>VLOOKUP(A144,收盤價!A:C,3,0)</f>
        <v>26.7</v>
      </c>
      <c r="E144" s="187">
        <v>0.58456973293768533</v>
      </c>
      <c r="F144">
        <v>90.91</v>
      </c>
    </row>
    <row r="145" spans="1:6">
      <c r="A145">
        <v>2321</v>
      </c>
      <c r="B145" t="s">
        <v>808</v>
      </c>
      <c r="C145">
        <v>1.37</v>
      </c>
      <c r="D145">
        <f>VLOOKUP(A145,收盤價!A:C,3,0)</f>
        <v>2.17</v>
      </c>
      <c r="E145" s="187">
        <v>0.5839416058394159</v>
      </c>
      <c r="F145">
        <v>90.85</v>
      </c>
    </row>
    <row r="146" spans="1:6">
      <c r="A146">
        <v>6150</v>
      </c>
      <c r="B146" t="s">
        <v>1731</v>
      </c>
      <c r="C146">
        <v>4.5</v>
      </c>
      <c r="D146">
        <f>VLOOKUP(A146,收盤價!A:C,3,0)</f>
        <v>7.12</v>
      </c>
      <c r="E146" s="187">
        <v>0.5822222222222222</v>
      </c>
      <c r="F146">
        <v>90.79</v>
      </c>
    </row>
    <row r="147" spans="1:6">
      <c r="A147">
        <v>8046</v>
      </c>
      <c r="B147" t="s">
        <v>1342</v>
      </c>
      <c r="C147">
        <v>21.8</v>
      </c>
      <c r="D147">
        <f>VLOOKUP(A147,收盤價!A:C,3,0)</f>
        <v>34.450000000000003</v>
      </c>
      <c r="E147" s="187">
        <v>0.58027522935779829</v>
      </c>
      <c r="F147">
        <v>90.73</v>
      </c>
    </row>
    <row r="148" spans="1:6">
      <c r="A148">
        <v>1566</v>
      </c>
      <c r="B148" t="s">
        <v>265</v>
      </c>
      <c r="C148">
        <v>15</v>
      </c>
      <c r="D148">
        <f>VLOOKUP(A148,收盤價!A:C,3,0)</f>
        <v>23.7</v>
      </c>
      <c r="E148" s="187">
        <v>0.57999999999999996</v>
      </c>
      <c r="F148">
        <v>90.66</v>
      </c>
    </row>
    <row r="149" spans="1:6">
      <c r="A149">
        <v>3105</v>
      </c>
      <c r="C149">
        <v>31.35</v>
      </c>
      <c r="D149">
        <f>VLOOKUP(A149,收盤價!A:C,3,0)</f>
        <v>49.5</v>
      </c>
      <c r="E149" s="187">
        <v>0.57894736842105254</v>
      </c>
      <c r="F149">
        <v>90.6</v>
      </c>
    </row>
    <row r="150" spans="1:6">
      <c r="A150">
        <v>3535</v>
      </c>
      <c r="B150" t="s">
        <v>1143</v>
      </c>
      <c r="C150">
        <v>6.03</v>
      </c>
      <c r="D150">
        <f>VLOOKUP(A150,收盤價!A:C,3,0)</f>
        <v>9.52</v>
      </c>
      <c r="E150" s="187">
        <v>0.57877280265339959</v>
      </c>
      <c r="F150">
        <v>90.54</v>
      </c>
    </row>
    <row r="151" spans="1:6">
      <c r="A151">
        <v>3380</v>
      </c>
      <c r="B151" t="s">
        <v>1121</v>
      </c>
      <c r="C151">
        <v>10.9</v>
      </c>
      <c r="D151">
        <f>VLOOKUP(A151,收盤價!A:C,3,0)</f>
        <v>17.149999999999999</v>
      </c>
      <c r="E151" s="187">
        <v>0.57339449541284382</v>
      </c>
      <c r="F151">
        <v>90.47</v>
      </c>
    </row>
    <row r="152" spans="1:6">
      <c r="A152">
        <v>3016</v>
      </c>
      <c r="B152" t="s">
        <v>1057</v>
      </c>
      <c r="C152">
        <v>9.61</v>
      </c>
      <c r="D152">
        <f>VLOOKUP(A152,收盤價!A:C,3,0)</f>
        <v>15.1</v>
      </c>
      <c r="E152" s="187">
        <v>0.57127991675338197</v>
      </c>
      <c r="F152">
        <v>90.41</v>
      </c>
    </row>
    <row r="153" spans="1:6">
      <c r="A153">
        <v>8069</v>
      </c>
      <c r="B153" t="s">
        <v>1793</v>
      </c>
      <c r="C153">
        <v>10.35</v>
      </c>
      <c r="D153">
        <f>VLOOKUP(A153,收盤價!A:C,3,0)</f>
        <v>16.25</v>
      </c>
      <c r="E153" s="187">
        <v>0.57004830917874405</v>
      </c>
      <c r="F153">
        <v>90.35</v>
      </c>
    </row>
    <row r="154" spans="1:6">
      <c r="A154">
        <v>3032</v>
      </c>
      <c r="B154" t="s">
        <v>1072</v>
      </c>
      <c r="C154">
        <v>13.95</v>
      </c>
      <c r="D154">
        <f>VLOOKUP(A154,收盤價!A:C,3,0)</f>
        <v>21.9</v>
      </c>
      <c r="E154" s="187">
        <v>0.56989247311827951</v>
      </c>
      <c r="F154">
        <v>90.28</v>
      </c>
    </row>
    <row r="155" spans="1:6">
      <c r="A155">
        <v>2472</v>
      </c>
      <c r="B155" t="s">
        <v>1856</v>
      </c>
      <c r="C155">
        <v>18.350000000000001</v>
      </c>
      <c r="D155">
        <f>VLOOKUP(A155,收盤價!A:C,3,0)</f>
        <v>28.8</v>
      </c>
      <c r="E155" s="187">
        <v>0.56948228882833785</v>
      </c>
      <c r="F155">
        <v>90.22</v>
      </c>
    </row>
    <row r="156" spans="1:6">
      <c r="A156">
        <v>2929</v>
      </c>
      <c r="B156" t="s">
        <v>1046</v>
      </c>
      <c r="C156">
        <v>103.5</v>
      </c>
      <c r="D156">
        <f>VLOOKUP(A156,收盤價!A:C,3,0)</f>
        <v>162</v>
      </c>
      <c r="E156" s="187">
        <v>0.56521739130434778</v>
      </c>
      <c r="F156">
        <v>90.16</v>
      </c>
    </row>
    <row r="157" spans="1:6">
      <c r="A157">
        <v>1733</v>
      </c>
      <c r="B157" t="s">
        <v>725</v>
      </c>
      <c r="C157">
        <v>33.25</v>
      </c>
      <c r="D157">
        <f>VLOOKUP(A157,收盤價!A:C,3,0)</f>
        <v>52</v>
      </c>
      <c r="E157" s="187">
        <v>0.56390977443609025</v>
      </c>
      <c r="F157">
        <v>90.09</v>
      </c>
    </row>
    <row r="158" spans="1:6">
      <c r="A158">
        <v>3672</v>
      </c>
      <c r="B158" t="s">
        <v>360</v>
      </c>
      <c r="C158">
        <v>27.5</v>
      </c>
      <c r="D158">
        <f>VLOOKUP(A158,收盤價!A:C,3,0)</f>
        <v>43</v>
      </c>
      <c r="E158" s="187">
        <v>0.5636363636363636</v>
      </c>
      <c r="F158">
        <v>90.03</v>
      </c>
    </row>
    <row r="159" spans="1:6">
      <c r="A159">
        <v>4160</v>
      </c>
      <c r="B159" t="s">
        <v>1579</v>
      </c>
      <c r="C159">
        <v>22.8</v>
      </c>
      <c r="D159">
        <f>VLOOKUP(A159,收盤價!A:C,3,0)</f>
        <v>35.65</v>
      </c>
      <c r="E159" s="187">
        <v>0.5635964912280701</v>
      </c>
      <c r="F159">
        <v>89.97</v>
      </c>
    </row>
    <row r="160" spans="1:6">
      <c r="A160">
        <v>1762</v>
      </c>
      <c r="B160" t="s">
        <v>730</v>
      </c>
      <c r="C160">
        <v>25.65</v>
      </c>
      <c r="D160">
        <f>VLOOKUP(A160,收盤價!A:C,3,0)</f>
        <v>40.049999999999997</v>
      </c>
      <c r="E160" s="187">
        <v>0.56140350877192979</v>
      </c>
      <c r="F160">
        <v>89.91</v>
      </c>
    </row>
    <row r="161" spans="1:6">
      <c r="A161">
        <v>3546</v>
      </c>
      <c r="B161" t="s">
        <v>1537</v>
      </c>
      <c r="C161">
        <v>20</v>
      </c>
      <c r="D161">
        <f>VLOOKUP(A161,收盤價!A:C,3,0)</f>
        <v>31.2</v>
      </c>
      <c r="E161" s="187">
        <v>0.55999999999999994</v>
      </c>
      <c r="F161">
        <v>89.84</v>
      </c>
    </row>
    <row r="162" spans="1:6">
      <c r="A162">
        <v>1783</v>
      </c>
      <c r="B162" t="s">
        <v>732</v>
      </c>
      <c r="C162">
        <v>16.8</v>
      </c>
      <c r="D162">
        <f>VLOOKUP(A162,收盤價!A:C,3,0)</f>
        <v>26.2</v>
      </c>
      <c r="E162" s="187">
        <v>0.55952380952380942</v>
      </c>
      <c r="F162">
        <v>89.78</v>
      </c>
    </row>
    <row r="163" spans="1:6">
      <c r="A163">
        <v>6158</v>
      </c>
      <c r="B163" t="s">
        <v>459</v>
      </c>
      <c r="C163">
        <v>6.8</v>
      </c>
      <c r="D163">
        <f>VLOOKUP(A163,收盤價!A:C,3,0)</f>
        <v>10.6</v>
      </c>
      <c r="E163" s="187">
        <v>0.55882352941176472</v>
      </c>
      <c r="F163">
        <v>89.72</v>
      </c>
    </row>
    <row r="164" spans="1:6">
      <c r="A164">
        <v>5478</v>
      </c>
      <c r="B164" t="s">
        <v>439</v>
      </c>
      <c r="C164">
        <v>38.6</v>
      </c>
      <c r="D164">
        <f>VLOOKUP(A164,收盤價!A:C,3,0)</f>
        <v>60.1</v>
      </c>
      <c r="E164" s="187">
        <v>0.55699481865284972</v>
      </c>
      <c r="F164">
        <v>89.65</v>
      </c>
    </row>
    <row r="165" spans="1:6">
      <c r="A165">
        <v>3693</v>
      </c>
      <c r="B165" t="s">
        <v>362</v>
      </c>
      <c r="C165">
        <v>83.5</v>
      </c>
      <c r="D165">
        <f>VLOOKUP(A165,收盤價!A:C,3,0)</f>
        <v>130</v>
      </c>
      <c r="E165" s="187">
        <v>0.55688622754491013</v>
      </c>
      <c r="F165">
        <v>89.59</v>
      </c>
    </row>
    <row r="166" spans="1:6">
      <c r="A166">
        <v>3434</v>
      </c>
      <c r="B166" t="s">
        <v>328</v>
      </c>
      <c r="C166">
        <v>8.1300000000000008</v>
      </c>
      <c r="D166">
        <f>VLOOKUP(A166,收盤價!A:C,3,0)</f>
        <v>12.6</v>
      </c>
      <c r="E166" s="187">
        <v>0.54981549815498132</v>
      </c>
      <c r="F166">
        <v>89.53</v>
      </c>
    </row>
    <row r="167" spans="1:6">
      <c r="A167">
        <v>1524</v>
      </c>
      <c r="B167" t="s">
        <v>660</v>
      </c>
      <c r="C167">
        <v>4.37</v>
      </c>
      <c r="D167">
        <f>VLOOKUP(A167,收盤價!A:C,3,0)</f>
        <v>6.77</v>
      </c>
      <c r="E167" s="187">
        <v>0.54919908466819212</v>
      </c>
      <c r="F167">
        <v>89.46</v>
      </c>
    </row>
    <row r="168" spans="1:6">
      <c r="A168">
        <v>3452</v>
      </c>
      <c r="B168" t="s">
        <v>1521</v>
      </c>
      <c r="C168">
        <v>7.94</v>
      </c>
      <c r="D168">
        <f>VLOOKUP(A168,收盤價!A:C,3,0)</f>
        <v>12.3</v>
      </c>
      <c r="E168" s="187">
        <v>0.54911838790931988</v>
      </c>
      <c r="F168">
        <v>89.4</v>
      </c>
    </row>
    <row r="169" spans="1:6">
      <c r="A169">
        <v>2484</v>
      </c>
      <c r="B169" t="s">
        <v>928</v>
      </c>
      <c r="C169">
        <v>13.7</v>
      </c>
      <c r="D169">
        <f>VLOOKUP(A169,收盤價!A:C,3,0)</f>
        <v>21.2</v>
      </c>
      <c r="E169" s="187">
        <v>0.54744525547445255</v>
      </c>
      <c r="F169">
        <v>89.34</v>
      </c>
    </row>
    <row r="170" spans="1:6">
      <c r="A170">
        <v>3227</v>
      </c>
      <c r="B170" t="s">
        <v>302</v>
      </c>
      <c r="C170">
        <v>48.55</v>
      </c>
      <c r="D170">
        <f>VLOOKUP(A170,收盤價!A:C,3,0)</f>
        <v>74.900000000000006</v>
      </c>
      <c r="E170" s="187">
        <v>0.54273944387229678</v>
      </c>
      <c r="F170">
        <v>89.27</v>
      </c>
    </row>
    <row r="171" spans="1:6">
      <c r="A171">
        <v>4131</v>
      </c>
      <c r="B171" t="s">
        <v>1574</v>
      </c>
      <c r="C171">
        <v>7.2</v>
      </c>
      <c r="D171">
        <f>VLOOKUP(A171,收盤價!A:C,3,0)</f>
        <v>11.1</v>
      </c>
      <c r="E171" s="187">
        <v>0.54166666666666663</v>
      </c>
      <c r="F171">
        <v>89.21</v>
      </c>
    </row>
    <row r="172" spans="1:6">
      <c r="A172">
        <v>1525</v>
      </c>
      <c r="B172" t="s">
        <v>661</v>
      </c>
      <c r="C172">
        <v>56.4</v>
      </c>
      <c r="D172">
        <f>VLOOKUP(A172,收盤價!A:C,3,0)</f>
        <v>86.8</v>
      </c>
      <c r="E172" s="187">
        <v>0.53900709219858156</v>
      </c>
      <c r="F172">
        <v>89.15</v>
      </c>
    </row>
    <row r="173" spans="1:6">
      <c r="A173">
        <v>4971</v>
      </c>
      <c r="B173" t="s">
        <v>1632</v>
      </c>
      <c r="C173">
        <v>71.2</v>
      </c>
      <c r="D173">
        <f>VLOOKUP(A173,收盤價!A:C,3,0)</f>
        <v>109.5</v>
      </c>
      <c r="E173" s="187">
        <v>0.5379213483146067</v>
      </c>
      <c r="F173">
        <v>89.09</v>
      </c>
    </row>
    <row r="174" spans="1:6">
      <c r="A174">
        <v>3224</v>
      </c>
      <c r="B174" t="s">
        <v>1494</v>
      </c>
      <c r="C174">
        <v>24.85</v>
      </c>
      <c r="D174">
        <f>VLOOKUP(A174,收盤價!A:C,3,0)</f>
        <v>38.200000000000003</v>
      </c>
      <c r="E174" s="187">
        <v>0.53722334004024153</v>
      </c>
      <c r="F174">
        <v>89.02</v>
      </c>
    </row>
    <row r="175" spans="1:6">
      <c r="A175">
        <v>4919</v>
      </c>
      <c r="B175" t="s">
        <v>1211</v>
      </c>
      <c r="C175">
        <v>19.55</v>
      </c>
      <c r="D175">
        <f>VLOOKUP(A175,收盤價!A:C,3,0)</f>
        <v>30.05</v>
      </c>
      <c r="E175" s="187">
        <v>0.53708439897698212</v>
      </c>
      <c r="F175">
        <v>88.96</v>
      </c>
    </row>
    <row r="176" spans="1:6">
      <c r="A176">
        <v>3537</v>
      </c>
      <c r="B176" t="s">
        <v>341</v>
      </c>
      <c r="C176">
        <v>13.25</v>
      </c>
      <c r="D176">
        <f>VLOOKUP(A176,收盤價!A:C,3,0)</f>
        <v>20.350000000000001</v>
      </c>
      <c r="E176" s="187">
        <v>0.53584905660377369</v>
      </c>
      <c r="F176">
        <v>88.9</v>
      </c>
    </row>
    <row r="177" spans="1:6">
      <c r="A177">
        <v>5284</v>
      </c>
      <c r="B177" t="s">
        <v>1652</v>
      </c>
      <c r="C177">
        <v>49.3</v>
      </c>
      <c r="D177">
        <f>VLOOKUP(A177,收盤價!A:C,3,0)</f>
        <v>75.7</v>
      </c>
      <c r="E177" s="187">
        <v>0.53549695740365122</v>
      </c>
      <c r="F177">
        <v>88.83</v>
      </c>
    </row>
    <row r="178" spans="1:6">
      <c r="A178">
        <v>2499</v>
      </c>
      <c r="B178" t="s">
        <v>940</v>
      </c>
      <c r="C178">
        <v>12.7</v>
      </c>
      <c r="D178">
        <f>VLOOKUP(A178,收盤價!A:C,3,0)</f>
        <v>19.5</v>
      </c>
      <c r="E178" s="187">
        <v>0.53543307086614178</v>
      </c>
      <c r="F178">
        <v>88.77</v>
      </c>
    </row>
    <row r="179" spans="1:6">
      <c r="A179">
        <v>3532</v>
      </c>
      <c r="B179" t="s">
        <v>1141</v>
      </c>
      <c r="C179">
        <v>24.65</v>
      </c>
      <c r="D179">
        <f>VLOOKUP(A179,收盤價!A:C,3,0)</f>
        <v>37.799999999999997</v>
      </c>
      <c r="E179" s="187">
        <v>0.53346855983772812</v>
      </c>
      <c r="F179">
        <v>88.71</v>
      </c>
    </row>
    <row r="180" spans="1:6">
      <c r="A180">
        <v>6227</v>
      </c>
      <c r="B180" t="s">
        <v>476</v>
      </c>
      <c r="C180">
        <v>11.65</v>
      </c>
      <c r="D180">
        <f>VLOOKUP(A180,收盤價!A:C,3,0)</f>
        <v>17.850000000000001</v>
      </c>
      <c r="E180" s="187">
        <v>0.53218884120171683</v>
      </c>
      <c r="F180">
        <v>88.64</v>
      </c>
    </row>
    <row r="181" spans="1:6">
      <c r="A181">
        <v>1319</v>
      </c>
      <c r="B181" t="s">
        <v>587</v>
      </c>
      <c r="C181">
        <v>25.7</v>
      </c>
      <c r="D181">
        <f>VLOOKUP(A181,收盤價!A:C,3,0)</f>
        <v>39.35</v>
      </c>
      <c r="E181" s="187">
        <v>0.53112840466926081</v>
      </c>
      <c r="F181">
        <v>88.58</v>
      </c>
    </row>
    <row r="182" spans="1:6">
      <c r="A182">
        <v>2493</v>
      </c>
      <c r="B182" t="s">
        <v>935</v>
      </c>
      <c r="C182">
        <v>15.55</v>
      </c>
      <c r="D182">
        <f>VLOOKUP(A182,收盤價!A:C,3,0)</f>
        <v>23.8</v>
      </c>
      <c r="E182" s="187">
        <v>0.53054662379421225</v>
      </c>
      <c r="F182">
        <v>88.52</v>
      </c>
    </row>
    <row r="183" spans="1:6">
      <c r="A183">
        <v>9935</v>
      </c>
      <c r="B183" t="s">
        <v>1424</v>
      </c>
      <c r="C183">
        <v>7.65</v>
      </c>
      <c r="D183">
        <f>VLOOKUP(A183,收盤價!A:C,3,0)</f>
        <v>11.7</v>
      </c>
      <c r="E183" s="187">
        <v>0.52941176470588214</v>
      </c>
      <c r="F183">
        <v>88.45</v>
      </c>
    </row>
    <row r="184" spans="1:6">
      <c r="A184">
        <v>3004</v>
      </c>
      <c r="B184" t="s">
        <v>1049</v>
      </c>
      <c r="C184">
        <v>36.6</v>
      </c>
      <c r="D184">
        <f>VLOOKUP(A184,收盤價!A:C,3,0)</f>
        <v>55.9</v>
      </c>
      <c r="E184" s="187">
        <v>0.52732240437158462</v>
      </c>
      <c r="F184">
        <v>88.39</v>
      </c>
    </row>
    <row r="185" spans="1:6">
      <c r="A185">
        <v>4725</v>
      </c>
      <c r="B185" t="s">
        <v>1201</v>
      </c>
      <c r="C185">
        <v>10.75</v>
      </c>
      <c r="D185">
        <f>VLOOKUP(A185,收盤價!A:C,3,0)</f>
        <v>16.399999999999999</v>
      </c>
      <c r="E185" s="187">
        <v>0.52558139534883708</v>
      </c>
      <c r="F185">
        <v>88.33</v>
      </c>
    </row>
    <row r="186" spans="1:6">
      <c r="A186">
        <v>3015</v>
      </c>
      <c r="B186" t="s">
        <v>1860</v>
      </c>
      <c r="C186">
        <v>13.8</v>
      </c>
      <c r="D186">
        <f>VLOOKUP(A186,收盤價!A:C,3,0)</f>
        <v>21.05</v>
      </c>
      <c r="E186" s="187">
        <v>0.52536231884057971</v>
      </c>
      <c r="F186">
        <v>88.26</v>
      </c>
    </row>
    <row r="187" spans="1:6">
      <c r="A187">
        <v>5438</v>
      </c>
      <c r="B187" t="s">
        <v>1675</v>
      </c>
      <c r="C187">
        <v>9.0500000000000007</v>
      </c>
      <c r="D187">
        <f>VLOOKUP(A187,收盤價!A:C,3,0)</f>
        <v>13.8</v>
      </c>
      <c r="E187" s="187">
        <v>0.52486187845303867</v>
      </c>
      <c r="F187">
        <v>88.2</v>
      </c>
    </row>
    <row r="188" spans="1:6">
      <c r="A188">
        <v>5215</v>
      </c>
      <c r="B188" t="s">
        <v>1229</v>
      </c>
      <c r="C188">
        <v>26.65</v>
      </c>
      <c r="D188">
        <f>VLOOKUP(A188,收盤價!A:C,3,0)</f>
        <v>40.549999999999997</v>
      </c>
      <c r="E188" s="187">
        <v>0.52157598499061908</v>
      </c>
      <c r="F188">
        <v>88.14</v>
      </c>
    </row>
    <row r="189" spans="1:6">
      <c r="A189">
        <v>1817</v>
      </c>
      <c r="B189" t="s">
        <v>741</v>
      </c>
      <c r="C189">
        <v>28</v>
      </c>
      <c r="D189">
        <f>VLOOKUP(A189,收盤價!A:C,3,0)</f>
        <v>42.55</v>
      </c>
      <c r="E189" s="187">
        <v>0.51964285714285707</v>
      </c>
      <c r="F189">
        <v>88.08</v>
      </c>
    </row>
    <row r="190" spans="1:6">
      <c r="A190">
        <v>4952</v>
      </c>
      <c r="B190" t="s">
        <v>1218</v>
      </c>
      <c r="C190">
        <v>27.15</v>
      </c>
      <c r="D190">
        <f>VLOOKUP(A190,收盤價!A:C,3,0)</f>
        <v>41.25</v>
      </c>
      <c r="E190" s="187">
        <v>0.51933701657458575</v>
      </c>
      <c r="F190">
        <v>88.01</v>
      </c>
    </row>
    <row r="191" spans="1:6">
      <c r="A191">
        <v>3003</v>
      </c>
      <c r="B191" t="s">
        <v>1048</v>
      </c>
      <c r="C191">
        <v>26.9</v>
      </c>
      <c r="D191">
        <f>VLOOKUP(A191,收盤價!A:C,3,0)</f>
        <v>40.85</v>
      </c>
      <c r="E191" s="187">
        <v>0.51858736059479571</v>
      </c>
      <c r="F191">
        <v>87.95</v>
      </c>
    </row>
    <row r="192" spans="1:6">
      <c r="A192">
        <v>3059</v>
      </c>
      <c r="B192" t="s">
        <v>1097</v>
      </c>
      <c r="C192">
        <v>20.45</v>
      </c>
      <c r="D192">
        <f>VLOOKUP(A192,收盤價!A:C,3,0)</f>
        <v>31.05</v>
      </c>
      <c r="E192" s="187">
        <v>0.51833740831295849</v>
      </c>
      <c r="F192">
        <v>87.89</v>
      </c>
    </row>
    <row r="193" spans="1:6">
      <c r="A193">
        <v>2233</v>
      </c>
      <c r="B193" t="s">
        <v>279</v>
      </c>
      <c r="C193">
        <v>51.9</v>
      </c>
      <c r="D193">
        <f>VLOOKUP(A193,收盤價!A:C,3,0)</f>
        <v>78.8</v>
      </c>
      <c r="E193" s="187">
        <v>0.51830443159922923</v>
      </c>
      <c r="F193">
        <v>87.82</v>
      </c>
    </row>
    <row r="194" spans="1:6">
      <c r="A194">
        <v>8933</v>
      </c>
      <c r="B194" t="s">
        <v>1845</v>
      </c>
      <c r="C194">
        <v>11.7</v>
      </c>
      <c r="D194">
        <f>VLOOKUP(A194,收盤價!A:C,3,0)</f>
        <v>17.75</v>
      </c>
      <c r="E194" s="187">
        <v>0.51709401709401714</v>
      </c>
      <c r="F194">
        <v>87.76</v>
      </c>
    </row>
    <row r="195" spans="1:6">
      <c r="A195">
        <v>5269</v>
      </c>
      <c r="B195" t="s">
        <v>1235</v>
      </c>
      <c r="C195">
        <v>117</v>
      </c>
      <c r="D195">
        <f>VLOOKUP(A195,收盤價!A:C,3,0)</f>
        <v>177.5</v>
      </c>
      <c r="E195" s="187">
        <v>0.51709401709401714</v>
      </c>
      <c r="F195">
        <v>87.7</v>
      </c>
    </row>
    <row r="196" spans="1:6">
      <c r="A196">
        <v>2387</v>
      </c>
      <c r="B196" t="s">
        <v>856</v>
      </c>
      <c r="C196">
        <v>9.9600000000000009</v>
      </c>
      <c r="D196">
        <f>VLOOKUP(A196,收盤價!A:C,3,0)</f>
        <v>15.1</v>
      </c>
      <c r="E196" s="187">
        <v>0.51606425702811232</v>
      </c>
      <c r="F196">
        <v>87.63</v>
      </c>
    </row>
    <row r="197" spans="1:6">
      <c r="A197">
        <v>3498</v>
      </c>
      <c r="B197" t="s">
        <v>1526</v>
      </c>
      <c r="C197">
        <v>47.8</v>
      </c>
      <c r="D197">
        <f>VLOOKUP(A197,收盤價!A:C,3,0)</f>
        <v>72.2</v>
      </c>
      <c r="E197" s="187">
        <v>0.51046025104602522</v>
      </c>
      <c r="F197">
        <v>87.57</v>
      </c>
    </row>
    <row r="198" spans="1:6">
      <c r="A198">
        <v>3691</v>
      </c>
      <c r="B198" t="s">
        <v>1561</v>
      </c>
      <c r="C198">
        <v>438</v>
      </c>
      <c r="D198">
        <f>VLOOKUP(A198,收盤價!A:C,3,0)</f>
        <v>661</v>
      </c>
      <c r="E198" s="187">
        <v>0.5091324200913242</v>
      </c>
      <c r="F198">
        <v>87.51</v>
      </c>
    </row>
    <row r="199" spans="1:6">
      <c r="A199">
        <v>2431</v>
      </c>
      <c r="B199" t="s">
        <v>887</v>
      </c>
      <c r="C199">
        <v>10.15</v>
      </c>
      <c r="D199">
        <f>VLOOKUP(A199,收盤價!A:C,3,0)</f>
        <v>15.3</v>
      </c>
      <c r="E199" s="187">
        <v>0.5073891625615764</v>
      </c>
      <c r="F199">
        <v>87.44</v>
      </c>
    </row>
    <row r="200" spans="1:6">
      <c r="A200">
        <v>5274</v>
      </c>
      <c r="B200" t="s">
        <v>1650</v>
      </c>
      <c r="C200">
        <v>247</v>
      </c>
      <c r="D200">
        <f>VLOOKUP(A200,收盤價!A:C,3,0)</f>
        <v>372</v>
      </c>
      <c r="E200" s="187">
        <v>0.50607287449392713</v>
      </c>
      <c r="F200">
        <v>87.38</v>
      </c>
    </row>
    <row r="201" spans="1:6">
      <c r="A201">
        <v>5328</v>
      </c>
      <c r="B201" t="s">
        <v>1660</v>
      </c>
      <c r="C201">
        <v>3.86</v>
      </c>
      <c r="D201">
        <f>VLOOKUP(A201,收盤價!A:C,3,0)</f>
        <v>5.81</v>
      </c>
      <c r="E201" s="187">
        <v>0.50518134715025897</v>
      </c>
      <c r="F201">
        <v>87.32</v>
      </c>
    </row>
    <row r="202" spans="1:6">
      <c r="A202">
        <v>3545</v>
      </c>
      <c r="B202" t="s">
        <v>1145</v>
      </c>
      <c r="C202">
        <v>19.75</v>
      </c>
      <c r="D202">
        <f>VLOOKUP(A202,收盤價!A:C,3,0)</f>
        <v>29.65</v>
      </c>
      <c r="E202" s="187">
        <v>0.50126582278481002</v>
      </c>
      <c r="F202">
        <v>87.26</v>
      </c>
    </row>
    <row r="203" spans="1:6">
      <c r="A203">
        <v>5289</v>
      </c>
      <c r="B203" t="s">
        <v>1653</v>
      </c>
      <c r="C203">
        <v>64.099999999999994</v>
      </c>
      <c r="D203">
        <f>VLOOKUP(A203,收盤價!A:C,3,0)</f>
        <v>96.2</v>
      </c>
      <c r="E203" s="187">
        <v>0.50078003120124825</v>
      </c>
      <c r="F203">
        <v>87.19</v>
      </c>
    </row>
    <row r="204" spans="1:6">
      <c r="A204">
        <v>4551</v>
      </c>
      <c r="B204" t="s">
        <v>1197</v>
      </c>
      <c r="C204">
        <v>52</v>
      </c>
      <c r="D204">
        <f>VLOOKUP(A204,收盤價!A:C,3,0)</f>
        <v>78</v>
      </c>
      <c r="E204" s="187">
        <v>0.5</v>
      </c>
      <c r="F204">
        <v>87.13</v>
      </c>
    </row>
    <row r="205" spans="1:6">
      <c r="A205">
        <v>3579</v>
      </c>
      <c r="B205" t="s">
        <v>1152</v>
      </c>
      <c r="C205">
        <v>8.11</v>
      </c>
      <c r="D205">
        <f>VLOOKUP(A205,收盤價!A:C,3,0)</f>
        <v>12.15</v>
      </c>
      <c r="E205" s="187">
        <v>0.49815043156596811</v>
      </c>
      <c r="F205">
        <v>87.07</v>
      </c>
    </row>
    <row r="206" spans="1:6">
      <c r="A206">
        <v>5474</v>
      </c>
      <c r="B206" t="s">
        <v>1679</v>
      </c>
      <c r="C206">
        <v>46.8</v>
      </c>
      <c r="D206">
        <f>VLOOKUP(A206,收盤價!A:C,3,0)</f>
        <v>70.099999999999994</v>
      </c>
      <c r="E206" s="187">
        <v>0.49786324786324782</v>
      </c>
      <c r="F206">
        <v>87</v>
      </c>
    </row>
    <row r="207" spans="1:6">
      <c r="A207">
        <v>1799</v>
      </c>
      <c r="B207" t="s">
        <v>1861</v>
      </c>
      <c r="C207">
        <v>23.25</v>
      </c>
      <c r="D207">
        <f>VLOOKUP(A207,收盤價!A:C,3,0)</f>
        <v>34.799999999999997</v>
      </c>
      <c r="E207" s="187">
        <v>0.49677419354838698</v>
      </c>
      <c r="F207">
        <v>86.94</v>
      </c>
    </row>
    <row r="208" spans="1:6">
      <c r="A208">
        <v>3611</v>
      </c>
      <c r="B208" t="s">
        <v>351</v>
      </c>
      <c r="C208">
        <v>210</v>
      </c>
      <c r="D208">
        <f>VLOOKUP(A208,收盤價!A:C,3,0)</f>
        <v>314</v>
      </c>
      <c r="E208" s="187">
        <v>0.49523809523809526</v>
      </c>
      <c r="F208">
        <v>86.88</v>
      </c>
    </row>
    <row r="209" spans="1:6">
      <c r="A209">
        <v>1512</v>
      </c>
      <c r="B209" t="s">
        <v>651</v>
      </c>
      <c r="C209">
        <v>3.14</v>
      </c>
      <c r="D209">
        <f>VLOOKUP(A209,收盤價!A:C,3,0)</f>
        <v>4.6900000000000004</v>
      </c>
      <c r="E209" s="187">
        <v>0.4936305732484077</v>
      </c>
      <c r="F209">
        <v>86.81</v>
      </c>
    </row>
    <row r="210" spans="1:6">
      <c r="A210">
        <v>5349</v>
      </c>
      <c r="B210" t="s">
        <v>1664</v>
      </c>
      <c r="C210">
        <v>24.25</v>
      </c>
      <c r="D210">
        <f>VLOOKUP(A210,收盤價!A:C,3,0)</f>
        <v>36.200000000000003</v>
      </c>
      <c r="E210" s="187">
        <v>0.49278350515463931</v>
      </c>
      <c r="F210">
        <v>86.75</v>
      </c>
    </row>
    <row r="211" spans="1:6">
      <c r="A211">
        <v>6274</v>
      </c>
      <c r="B211" t="s">
        <v>491</v>
      </c>
      <c r="C211">
        <v>20</v>
      </c>
      <c r="D211">
        <f>VLOOKUP(A211,收盤價!A:C,3,0)</f>
        <v>29.85</v>
      </c>
      <c r="E211" s="187">
        <v>0.49250000000000005</v>
      </c>
      <c r="F211">
        <v>86.69</v>
      </c>
    </row>
    <row r="212" spans="1:6">
      <c r="A212">
        <v>3625</v>
      </c>
      <c r="B212" t="s">
        <v>354</v>
      </c>
      <c r="C212">
        <v>6.48</v>
      </c>
      <c r="D212">
        <f>VLOOKUP(A212,收盤價!A:C,3,0)</f>
        <v>9.67</v>
      </c>
      <c r="E212" s="187">
        <v>0.49228395061728386</v>
      </c>
      <c r="F212">
        <v>86.62</v>
      </c>
    </row>
    <row r="213" spans="1:6">
      <c r="A213">
        <v>3594</v>
      </c>
      <c r="B213" t="s">
        <v>349</v>
      </c>
      <c r="C213">
        <v>19.75</v>
      </c>
      <c r="D213">
        <f>VLOOKUP(A213,收盤價!A:C,3,0)</f>
        <v>29.45</v>
      </c>
      <c r="E213" s="187">
        <v>0.49113924050632907</v>
      </c>
      <c r="F213">
        <v>86.56</v>
      </c>
    </row>
    <row r="214" spans="1:6">
      <c r="A214">
        <v>6457</v>
      </c>
      <c r="B214" t="s">
        <v>1774</v>
      </c>
      <c r="C214">
        <v>27.75</v>
      </c>
      <c r="D214">
        <f>VLOOKUP(A214,收盤價!A:C,3,0)</f>
        <v>41.35</v>
      </c>
      <c r="E214" s="187">
        <v>0.49009009009009014</v>
      </c>
      <c r="F214">
        <v>86.5</v>
      </c>
    </row>
    <row r="215" spans="1:6">
      <c r="A215">
        <v>4106</v>
      </c>
      <c r="B215" t="s">
        <v>1182</v>
      </c>
      <c r="C215">
        <v>28.3</v>
      </c>
      <c r="D215">
        <f>VLOOKUP(A215,收盤價!A:C,3,0)</f>
        <v>42.15</v>
      </c>
      <c r="E215" s="187">
        <v>0.48939929328621901</v>
      </c>
      <c r="F215">
        <v>86.44</v>
      </c>
    </row>
    <row r="216" spans="1:6">
      <c r="A216">
        <v>4126</v>
      </c>
      <c r="B216" t="s">
        <v>366</v>
      </c>
      <c r="C216">
        <v>52.8</v>
      </c>
      <c r="D216">
        <f>VLOOKUP(A216,收盤價!A:C,3,0)</f>
        <v>78.5</v>
      </c>
      <c r="E216" s="187">
        <v>0.48674242424242431</v>
      </c>
      <c r="F216">
        <v>86.37</v>
      </c>
    </row>
    <row r="217" spans="1:6">
      <c r="A217">
        <v>1711</v>
      </c>
      <c r="B217" t="s">
        <v>706</v>
      </c>
      <c r="C217">
        <v>14.9</v>
      </c>
      <c r="D217">
        <f>VLOOKUP(A217,收盤價!A:C,3,0)</f>
        <v>22.15</v>
      </c>
      <c r="E217" s="187">
        <v>0.48657718120805354</v>
      </c>
      <c r="F217">
        <v>86.31</v>
      </c>
    </row>
    <row r="218" spans="1:6">
      <c r="A218">
        <v>3272</v>
      </c>
      <c r="B218" t="s">
        <v>310</v>
      </c>
      <c r="C218">
        <v>43.75</v>
      </c>
      <c r="D218">
        <f>VLOOKUP(A218,收盤價!A:C,3,0)</f>
        <v>65</v>
      </c>
      <c r="E218" s="187">
        <v>0.48571428571428571</v>
      </c>
      <c r="F218">
        <v>86.25</v>
      </c>
    </row>
    <row r="219" spans="1:6">
      <c r="A219">
        <v>3576</v>
      </c>
      <c r="B219" t="s">
        <v>1151</v>
      </c>
      <c r="C219">
        <v>14.75</v>
      </c>
      <c r="D219">
        <f>VLOOKUP(A219,收盤價!A:C,3,0)</f>
        <v>21.9</v>
      </c>
      <c r="E219" s="187">
        <v>0.48474576271186431</v>
      </c>
      <c r="F219">
        <v>86.18</v>
      </c>
    </row>
    <row r="220" spans="1:6">
      <c r="A220">
        <v>6509</v>
      </c>
      <c r="B220" t="s">
        <v>497</v>
      </c>
      <c r="C220">
        <v>14.4</v>
      </c>
      <c r="D220">
        <f>VLOOKUP(A220,收盤價!A:C,3,0)</f>
        <v>21.35</v>
      </c>
      <c r="E220" s="187">
        <v>0.48263888888888895</v>
      </c>
      <c r="F220">
        <v>86.12</v>
      </c>
    </row>
    <row r="221" spans="1:6">
      <c r="A221">
        <v>1340</v>
      </c>
      <c r="B221" t="s">
        <v>596</v>
      </c>
      <c r="C221">
        <v>51.2</v>
      </c>
      <c r="D221">
        <f>VLOOKUP(A221,收盤價!A:C,3,0)</f>
        <v>75.8</v>
      </c>
      <c r="E221" s="187">
        <v>0.48046874999999989</v>
      </c>
      <c r="F221">
        <v>86.06</v>
      </c>
    </row>
    <row r="222" spans="1:6">
      <c r="A222">
        <v>4609</v>
      </c>
      <c r="B222" t="s">
        <v>1612</v>
      </c>
      <c r="C222">
        <v>6.5</v>
      </c>
      <c r="D222">
        <f>VLOOKUP(A222,收盤價!A:C,3,0)</f>
        <v>9.6199999999999992</v>
      </c>
      <c r="E222" s="187">
        <v>0.47999999999999987</v>
      </c>
      <c r="F222">
        <v>85.99</v>
      </c>
    </row>
    <row r="223" spans="1:6">
      <c r="A223">
        <v>3017</v>
      </c>
      <c r="B223" t="s">
        <v>1058</v>
      </c>
      <c r="C223">
        <v>18.45</v>
      </c>
      <c r="D223">
        <f>VLOOKUP(A223,收盤價!A:C,3,0)</f>
        <v>27.3</v>
      </c>
      <c r="E223" s="187">
        <v>0.47967479674796759</v>
      </c>
      <c r="F223">
        <v>85.93</v>
      </c>
    </row>
    <row r="224" spans="1:6">
      <c r="A224">
        <v>3051</v>
      </c>
      <c r="B224" t="s">
        <v>1090</v>
      </c>
      <c r="C224">
        <v>4.8</v>
      </c>
      <c r="D224">
        <f>VLOOKUP(A224,收盤價!A:C,3,0)</f>
        <v>7.1</v>
      </c>
      <c r="E224" s="187">
        <v>0.47916666666666663</v>
      </c>
      <c r="F224">
        <v>85.87</v>
      </c>
    </row>
    <row r="225" spans="1:6">
      <c r="A225">
        <v>1522</v>
      </c>
      <c r="B225" t="s">
        <v>659</v>
      </c>
      <c r="C225">
        <v>16.3</v>
      </c>
      <c r="D225">
        <f>VLOOKUP(A225,收盤價!A:C,3,0)</f>
        <v>24.1</v>
      </c>
      <c r="E225" s="187">
        <v>0.4785276073619632</v>
      </c>
      <c r="F225">
        <v>85.8</v>
      </c>
    </row>
    <row r="226" spans="1:6">
      <c r="A226">
        <v>3043</v>
      </c>
      <c r="B226" t="s">
        <v>1082</v>
      </c>
      <c r="C226">
        <v>2.2999999999999998</v>
      </c>
      <c r="D226">
        <f>VLOOKUP(A226,收盤價!A:C,3,0)</f>
        <v>3.4</v>
      </c>
      <c r="E226" s="187">
        <v>0.47826086956521746</v>
      </c>
      <c r="F226">
        <v>85.74</v>
      </c>
    </row>
    <row r="227" spans="1:6">
      <c r="A227">
        <v>6414</v>
      </c>
      <c r="B227" t="s">
        <v>1323</v>
      </c>
      <c r="C227">
        <v>234.5</v>
      </c>
      <c r="D227">
        <f>VLOOKUP(A227,收盤價!A:C,3,0)</f>
        <v>346.5</v>
      </c>
      <c r="E227" s="187">
        <v>0.47761194029850745</v>
      </c>
      <c r="F227">
        <v>85.68</v>
      </c>
    </row>
    <row r="228" spans="1:6">
      <c r="A228">
        <v>1731</v>
      </c>
      <c r="B228" t="s">
        <v>723</v>
      </c>
      <c r="C228">
        <v>10.4</v>
      </c>
      <c r="D228">
        <f>VLOOKUP(A228,收盤價!A:C,3,0)</f>
        <v>15.35</v>
      </c>
      <c r="E228" s="187">
        <v>0.47596153846153838</v>
      </c>
      <c r="F228">
        <v>85.62</v>
      </c>
    </row>
    <row r="229" spans="1:6">
      <c r="A229">
        <v>8110</v>
      </c>
      <c r="B229" t="s">
        <v>1349</v>
      </c>
      <c r="C229">
        <v>6.75</v>
      </c>
      <c r="D229">
        <f>VLOOKUP(A229,收盤價!A:C,3,0)</f>
        <v>9.9499999999999993</v>
      </c>
      <c r="E229" s="187">
        <v>0.47407407407407398</v>
      </c>
      <c r="F229">
        <v>85.55</v>
      </c>
    </row>
    <row r="230" spans="1:6">
      <c r="A230">
        <v>2235</v>
      </c>
      <c r="B230" t="s">
        <v>280</v>
      </c>
      <c r="C230">
        <v>94.1</v>
      </c>
      <c r="D230">
        <f>VLOOKUP(A230,收盤價!A:C,3,0)</f>
        <v>138.5</v>
      </c>
      <c r="E230" s="187">
        <v>0.47183846971307131</v>
      </c>
      <c r="F230">
        <v>85.49</v>
      </c>
    </row>
    <row r="231" spans="1:6">
      <c r="A231">
        <v>8924</v>
      </c>
      <c r="B231" t="s">
        <v>1841</v>
      </c>
      <c r="C231">
        <v>12.95</v>
      </c>
      <c r="D231">
        <f>VLOOKUP(A231,收盤價!A:C,3,0)</f>
        <v>19</v>
      </c>
      <c r="E231" s="187">
        <v>0.46718146718146725</v>
      </c>
      <c r="F231">
        <v>85.43</v>
      </c>
    </row>
    <row r="232" spans="1:6">
      <c r="A232">
        <v>6235</v>
      </c>
      <c r="B232" t="s">
        <v>1305</v>
      </c>
      <c r="C232">
        <v>5.95</v>
      </c>
      <c r="D232">
        <f>VLOOKUP(A232,收盤價!A:C,3,0)</f>
        <v>8.7200000000000006</v>
      </c>
      <c r="E232" s="187">
        <v>0.46554621848739502</v>
      </c>
      <c r="F232">
        <v>85.36</v>
      </c>
    </row>
    <row r="233" spans="1:6">
      <c r="A233">
        <v>8409</v>
      </c>
      <c r="B233" t="s">
        <v>1830</v>
      </c>
      <c r="C233">
        <v>21.5</v>
      </c>
      <c r="D233">
        <f>VLOOKUP(A233,收盤價!A:C,3,0)</f>
        <v>31.5</v>
      </c>
      <c r="E233" s="187">
        <v>0.46511627906976744</v>
      </c>
      <c r="F233">
        <v>85.3</v>
      </c>
    </row>
    <row r="234" spans="1:6">
      <c r="A234">
        <v>5469</v>
      </c>
      <c r="B234" t="s">
        <v>1241</v>
      </c>
      <c r="C234">
        <v>7.1</v>
      </c>
      <c r="D234">
        <f>VLOOKUP(A234,收盤價!A:C,3,0)</f>
        <v>10.4</v>
      </c>
      <c r="E234" s="187">
        <v>0.4647887323943663</v>
      </c>
      <c r="F234">
        <v>85.24</v>
      </c>
    </row>
    <row r="235" spans="1:6">
      <c r="A235">
        <v>6415</v>
      </c>
      <c r="B235" t="s">
        <v>1324</v>
      </c>
      <c r="C235">
        <v>262</v>
      </c>
      <c r="D235">
        <f>VLOOKUP(A235,收盤價!A:C,3,0)</f>
        <v>383.5</v>
      </c>
      <c r="E235" s="187">
        <v>0.4637404580152672</v>
      </c>
      <c r="F235">
        <v>85.17</v>
      </c>
    </row>
    <row r="236" spans="1:6">
      <c r="A236">
        <v>6243</v>
      </c>
      <c r="B236" t="s">
        <v>1307</v>
      </c>
      <c r="C236">
        <v>10.9</v>
      </c>
      <c r="D236">
        <f>VLOOKUP(A236,收盤價!A:C,3,0)</f>
        <v>15.95</v>
      </c>
      <c r="E236" s="187">
        <v>0.46330275229357787</v>
      </c>
      <c r="F236">
        <v>85.11</v>
      </c>
    </row>
    <row r="237" spans="1:6">
      <c r="A237">
        <v>4743</v>
      </c>
      <c r="B237" t="s">
        <v>1619</v>
      </c>
      <c r="C237">
        <v>25.5</v>
      </c>
      <c r="D237">
        <f>VLOOKUP(A237,收盤價!A:C,3,0)</f>
        <v>37.25</v>
      </c>
      <c r="E237" s="187">
        <v>0.46078431372549017</v>
      </c>
      <c r="F237">
        <v>85.05</v>
      </c>
    </row>
    <row r="238" spans="1:6">
      <c r="A238">
        <v>2007</v>
      </c>
      <c r="B238" t="s">
        <v>751</v>
      </c>
      <c r="C238">
        <v>3.06</v>
      </c>
      <c r="D238">
        <f>VLOOKUP(A238,收盤價!A:C,3,0)</f>
        <v>4.47</v>
      </c>
      <c r="E238" s="187">
        <v>0.46078431372549011</v>
      </c>
      <c r="F238">
        <v>84.98</v>
      </c>
    </row>
    <row r="239" spans="1:6">
      <c r="A239">
        <v>4909</v>
      </c>
      <c r="B239" t="s">
        <v>394</v>
      </c>
      <c r="C239">
        <v>16.3</v>
      </c>
      <c r="D239">
        <f>VLOOKUP(A239,收盤價!A:C,3,0)</f>
        <v>23.8</v>
      </c>
      <c r="E239" s="187">
        <v>0.46012269938650302</v>
      </c>
      <c r="F239">
        <v>84.92</v>
      </c>
    </row>
    <row r="240" spans="1:6">
      <c r="A240">
        <v>6279</v>
      </c>
      <c r="B240" t="s">
        <v>1764</v>
      </c>
      <c r="C240">
        <v>102.5</v>
      </c>
      <c r="D240">
        <f>VLOOKUP(A240,收盤價!A:C,3,0)</f>
        <v>149.5</v>
      </c>
      <c r="E240" s="187">
        <v>0.45853658536585368</v>
      </c>
      <c r="F240">
        <v>84.86</v>
      </c>
    </row>
    <row r="241" spans="1:6">
      <c r="A241">
        <v>6228</v>
      </c>
      <c r="B241" t="s">
        <v>1753</v>
      </c>
      <c r="C241">
        <v>8.3000000000000007</v>
      </c>
      <c r="D241">
        <f>VLOOKUP(A241,收盤價!A:C,3,0)</f>
        <v>12.1</v>
      </c>
      <c r="E241" s="187">
        <v>0.45783132530120463</v>
      </c>
      <c r="F241">
        <v>84.79</v>
      </c>
    </row>
    <row r="242" spans="1:6">
      <c r="A242">
        <v>910708</v>
      </c>
      <c r="B242" t="s">
        <v>1381</v>
      </c>
      <c r="C242">
        <v>282</v>
      </c>
      <c r="D242">
        <f>VLOOKUP(A242,收盤價!A:C,3,0)</f>
        <v>410</v>
      </c>
      <c r="E242" s="187">
        <v>0.45390070921985815</v>
      </c>
      <c r="F242">
        <v>84.73</v>
      </c>
    </row>
    <row r="243" spans="1:6">
      <c r="A243">
        <v>8450</v>
      </c>
      <c r="B243" t="s">
        <v>524</v>
      </c>
      <c r="C243">
        <v>57</v>
      </c>
      <c r="D243">
        <f>VLOOKUP(A243,收盤價!A:C,3,0)</f>
        <v>82.8</v>
      </c>
      <c r="E243" s="187">
        <v>0.45263157894736838</v>
      </c>
      <c r="F243">
        <v>84.67</v>
      </c>
    </row>
    <row r="244" spans="1:6">
      <c r="A244">
        <v>1813</v>
      </c>
      <c r="B244" t="s">
        <v>273</v>
      </c>
      <c r="C244">
        <v>20.7</v>
      </c>
      <c r="D244">
        <f>VLOOKUP(A244,收盤價!A:C,3,0)</f>
        <v>30</v>
      </c>
      <c r="E244" s="187">
        <v>0.44927536231884063</v>
      </c>
      <c r="F244">
        <v>84.61</v>
      </c>
    </row>
    <row r="245" spans="1:6">
      <c r="A245">
        <v>1464</v>
      </c>
      <c r="B245" t="s">
        <v>633</v>
      </c>
      <c r="C245">
        <v>22.5</v>
      </c>
      <c r="D245">
        <f>VLOOKUP(A245,收盤價!A:C,3,0)</f>
        <v>32.6</v>
      </c>
      <c r="E245" s="187">
        <v>0.44888888888888895</v>
      </c>
      <c r="F245">
        <v>84.54</v>
      </c>
    </row>
    <row r="246" spans="1:6">
      <c r="A246">
        <v>910482</v>
      </c>
      <c r="B246" t="s">
        <v>1378</v>
      </c>
      <c r="C246">
        <v>1.32</v>
      </c>
      <c r="D246">
        <f>VLOOKUP(A246,收盤價!A:C,3,0)</f>
        <v>1.91</v>
      </c>
      <c r="E246" s="187">
        <v>0.44696969696969685</v>
      </c>
      <c r="F246">
        <v>84.48</v>
      </c>
    </row>
    <row r="247" spans="1:6">
      <c r="A247">
        <v>1568</v>
      </c>
      <c r="B247" t="s">
        <v>679</v>
      </c>
      <c r="C247">
        <v>14.1</v>
      </c>
      <c r="D247">
        <f>VLOOKUP(A247,收盤價!A:C,3,0)</f>
        <v>20.399999999999999</v>
      </c>
      <c r="E247" s="187">
        <v>0.4468085106382978</v>
      </c>
      <c r="F247">
        <v>84.42</v>
      </c>
    </row>
    <row r="248" spans="1:6">
      <c r="A248">
        <v>1536</v>
      </c>
      <c r="B248" t="s">
        <v>671</v>
      </c>
      <c r="C248">
        <v>88.5</v>
      </c>
      <c r="D248">
        <f>VLOOKUP(A248,收盤價!A:C,3,0)</f>
        <v>128</v>
      </c>
      <c r="E248" s="187">
        <v>0.4463276836158192</v>
      </c>
      <c r="F248">
        <v>84.35</v>
      </c>
    </row>
    <row r="249" spans="1:6">
      <c r="A249">
        <v>4138</v>
      </c>
      <c r="B249" t="s">
        <v>1575</v>
      </c>
      <c r="C249">
        <v>47.9</v>
      </c>
      <c r="D249">
        <f>VLOOKUP(A249,收盤價!A:C,3,0)</f>
        <v>69.2</v>
      </c>
      <c r="E249" s="187">
        <v>0.44467640918580387</v>
      </c>
      <c r="F249">
        <v>84.29</v>
      </c>
    </row>
    <row r="250" spans="1:6">
      <c r="A250">
        <v>4154</v>
      </c>
      <c r="B250" t="s">
        <v>1577</v>
      </c>
      <c r="C250">
        <v>15.75</v>
      </c>
      <c r="D250">
        <f>VLOOKUP(A250,收盤價!A:C,3,0)</f>
        <v>22.75</v>
      </c>
      <c r="E250" s="187">
        <v>0.44444444444444442</v>
      </c>
      <c r="F250">
        <v>84.23</v>
      </c>
    </row>
    <row r="251" spans="1:6">
      <c r="A251">
        <v>8066</v>
      </c>
      <c r="B251" t="s">
        <v>1791</v>
      </c>
      <c r="C251">
        <v>75.5</v>
      </c>
      <c r="D251">
        <f>VLOOKUP(A251,收盤價!A:C,3,0)</f>
        <v>109</v>
      </c>
      <c r="E251" s="187">
        <v>0.44370860927152317</v>
      </c>
      <c r="F251">
        <v>84.16</v>
      </c>
    </row>
    <row r="252" spans="1:6">
      <c r="A252">
        <v>4999</v>
      </c>
      <c r="B252" t="s">
        <v>1226</v>
      </c>
      <c r="C252">
        <v>32.5</v>
      </c>
      <c r="D252">
        <f>VLOOKUP(A252,收盤價!A:C,3,0)</f>
        <v>46.9</v>
      </c>
      <c r="E252" s="187">
        <v>0.44307692307692303</v>
      </c>
      <c r="F252">
        <v>84.1</v>
      </c>
    </row>
    <row r="253" spans="1:6">
      <c r="A253">
        <v>1734</v>
      </c>
      <c r="B253" t="s">
        <v>726</v>
      </c>
      <c r="C253">
        <v>21.4</v>
      </c>
      <c r="D253">
        <f>VLOOKUP(A253,收盤價!A:C,3,0)</f>
        <v>30.85</v>
      </c>
      <c r="E253" s="187">
        <v>0.44158878504672916</v>
      </c>
      <c r="F253">
        <v>84.04</v>
      </c>
    </row>
    <row r="254" spans="1:6">
      <c r="A254">
        <v>3630</v>
      </c>
      <c r="B254" t="s">
        <v>355</v>
      </c>
      <c r="C254">
        <v>12.35</v>
      </c>
      <c r="D254">
        <f>VLOOKUP(A254,收盤價!A:C,3,0)</f>
        <v>17.8</v>
      </c>
      <c r="E254" s="187">
        <v>0.44129554655870457</v>
      </c>
      <c r="F254">
        <v>83.97</v>
      </c>
    </row>
    <row r="255" spans="1:6">
      <c r="A255">
        <v>2062</v>
      </c>
      <c r="B255" t="s">
        <v>776</v>
      </c>
      <c r="C255">
        <v>31.2</v>
      </c>
      <c r="D255">
        <f>VLOOKUP(A255,收盤價!A:C,3,0)</f>
        <v>44.9</v>
      </c>
      <c r="E255" s="187">
        <v>0.4391025641025641</v>
      </c>
      <c r="F255">
        <v>83.91</v>
      </c>
    </row>
    <row r="256" spans="1:6">
      <c r="A256">
        <v>8222</v>
      </c>
      <c r="B256" t="s">
        <v>1359</v>
      </c>
      <c r="C256">
        <v>15.95</v>
      </c>
      <c r="D256">
        <f>VLOOKUP(A256,收盤價!A:C,3,0)</f>
        <v>22.95</v>
      </c>
      <c r="E256" s="187">
        <v>0.43887147335423199</v>
      </c>
      <c r="F256">
        <v>83.85</v>
      </c>
    </row>
    <row r="257" spans="1:6">
      <c r="A257">
        <v>1569</v>
      </c>
      <c r="B257" t="s">
        <v>266</v>
      </c>
      <c r="C257">
        <v>7.2</v>
      </c>
      <c r="D257">
        <f>VLOOKUP(A257,收盤價!A:C,3,0)</f>
        <v>10.35</v>
      </c>
      <c r="E257" s="187">
        <v>0.43749999999999989</v>
      </c>
      <c r="F257">
        <v>83.79</v>
      </c>
    </row>
    <row r="258" spans="1:6">
      <c r="A258">
        <v>8936</v>
      </c>
      <c r="B258" t="s">
        <v>1847</v>
      </c>
      <c r="C258">
        <v>27</v>
      </c>
      <c r="D258">
        <f>VLOOKUP(A258,收盤價!A:C,3,0)</f>
        <v>38.799999999999997</v>
      </c>
      <c r="E258" s="187">
        <v>0.43703703703703695</v>
      </c>
      <c r="F258">
        <v>83.72</v>
      </c>
    </row>
    <row r="259" spans="1:6">
      <c r="A259">
        <v>3011</v>
      </c>
      <c r="B259" t="s">
        <v>1054</v>
      </c>
      <c r="C259">
        <v>4.1900000000000004</v>
      </c>
      <c r="D259">
        <f>VLOOKUP(A259,收盤價!A:C,3,0)</f>
        <v>6.02</v>
      </c>
      <c r="E259" s="187">
        <v>0.43675417661097826</v>
      </c>
      <c r="F259">
        <v>83.66</v>
      </c>
    </row>
    <row r="260" spans="1:6">
      <c r="A260">
        <v>9802</v>
      </c>
      <c r="B260" t="s">
        <v>1399</v>
      </c>
      <c r="C260">
        <v>36.549999999999997</v>
      </c>
      <c r="D260">
        <f>VLOOKUP(A260,收盤價!A:C,3,0)</f>
        <v>52.5</v>
      </c>
      <c r="E260" s="187">
        <v>0.43638850889192898</v>
      </c>
      <c r="F260">
        <v>83.6</v>
      </c>
    </row>
    <row r="261" spans="1:6">
      <c r="A261">
        <v>1558</v>
      </c>
      <c r="B261" t="s">
        <v>677</v>
      </c>
      <c r="C261">
        <v>101</v>
      </c>
      <c r="D261">
        <f>VLOOKUP(A261,收盤價!A:C,3,0)</f>
        <v>145</v>
      </c>
      <c r="E261" s="187">
        <v>0.43564356435643564</v>
      </c>
      <c r="F261">
        <v>83.53</v>
      </c>
    </row>
    <row r="262" spans="1:6">
      <c r="A262">
        <v>8147</v>
      </c>
      <c r="B262" t="s">
        <v>1809</v>
      </c>
      <c r="C262">
        <v>34.5</v>
      </c>
      <c r="D262">
        <f>VLOOKUP(A262,收盤價!A:C,3,0)</f>
        <v>49.5</v>
      </c>
      <c r="E262" s="187">
        <v>0.43478260869565216</v>
      </c>
      <c r="F262">
        <v>83.47</v>
      </c>
    </row>
    <row r="263" spans="1:6">
      <c r="A263">
        <v>2369</v>
      </c>
      <c r="B263" t="s">
        <v>844</v>
      </c>
      <c r="C263">
        <v>6.77</v>
      </c>
      <c r="D263">
        <f>VLOOKUP(A263,收盤價!A:C,3,0)</f>
        <v>9.7100000000000009</v>
      </c>
      <c r="E263" s="187">
        <v>0.43426883308714942</v>
      </c>
      <c r="F263">
        <v>83.41</v>
      </c>
    </row>
    <row r="264" spans="1:6">
      <c r="A264">
        <v>6422</v>
      </c>
      <c r="B264" t="s">
        <v>1325</v>
      </c>
      <c r="C264">
        <v>38.799999999999997</v>
      </c>
      <c r="D264">
        <f>VLOOKUP(A264,收盤價!A:C,3,0)</f>
        <v>55.6</v>
      </c>
      <c r="E264" s="187">
        <v>0.43298969072164961</v>
      </c>
      <c r="F264">
        <v>83.34</v>
      </c>
    </row>
    <row r="265" spans="1:6">
      <c r="A265">
        <v>8155</v>
      </c>
      <c r="B265" t="s">
        <v>1810</v>
      </c>
      <c r="C265">
        <v>13.05</v>
      </c>
      <c r="D265">
        <f>VLOOKUP(A265,收盤價!A:C,3,0)</f>
        <v>18.7</v>
      </c>
      <c r="E265" s="187">
        <v>0.4329501915708811</v>
      </c>
      <c r="F265">
        <v>83.28</v>
      </c>
    </row>
    <row r="266" spans="1:6">
      <c r="A266">
        <v>2905</v>
      </c>
      <c r="B266" t="s">
        <v>1037</v>
      </c>
      <c r="C266">
        <v>16.399999999999999</v>
      </c>
      <c r="D266">
        <f>VLOOKUP(A266,收盤價!A:C,3,0)</f>
        <v>23.5</v>
      </c>
      <c r="E266" s="187">
        <v>0.43292682926829279</v>
      </c>
      <c r="F266">
        <v>83.22</v>
      </c>
    </row>
    <row r="267" spans="1:6">
      <c r="A267">
        <v>8091</v>
      </c>
      <c r="B267" t="s">
        <v>1800</v>
      </c>
      <c r="C267">
        <v>45.8</v>
      </c>
      <c r="D267">
        <f>VLOOKUP(A267,收盤價!A:C,3,0)</f>
        <v>65.599999999999994</v>
      </c>
      <c r="E267" s="187">
        <v>0.4323144104803493</v>
      </c>
      <c r="F267">
        <v>83.15</v>
      </c>
    </row>
    <row r="268" spans="1:6">
      <c r="A268">
        <v>6111</v>
      </c>
      <c r="B268" t="s">
        <v>1714</v>
      </c>
      <c r="C268">
        <v>64.8</v>
      </c>
      <c r="D268">
        <f>VLOOKUP(A268,收盤價!A:C,3,0)</f>
        <v>92.8</v>
      </c>
      <c r="E268" s="187">
        <v>0.4320987654320988</v>
      </c>
      <c r="F268">
        <v>83.09</v>
      </c>
    </row>
    <row r="269" spans="1:6">
      <c r="A269">
        <v>4930</v>
      </c>
      <c r="B269" t="s">
        <v>1213</v>
      </c>
      <c r="C269">
        <v>11.5</v>
      </c>
      <c r="D269">
        <f>VLOOKUP(A269,收盤價!A:C,3,0)</f>
        <v>16.45</v>
      </c>
      <c r="E269" s="187">
        <v>0.43043478260869561</v>
      </c>
      <c r="F269">
        <v>83.03</v>
      </c>
    </row>
    <row r="270" spans="1:6">
      <c r="A270">
        <v>2379</v>
      </c>
      <c r="B270" t="s">
        <v>851</v>
      </c>
      <c r="C270">
        <v>50.7</v>
      </c>
      <c r="D270">
        <f>VLOOKUP(A270,收盤價!A:C,3,0)</f>
        <v>72.5</v>
      </c>
      <c r="E270" s="187">
        <v>0.42998027613412221</v>
      </c>
      <c r="F270">
        <v>82.97</v>
      </c>
    </row>
    <row r="271" spans="1:6">
      <c r="A271">
        <v>3615</v>
      </c>
      <c r="B271" t="s">
        <v>1547</v>
      </c>
      <c r="C271">
        <v>13.15</v>
      </c>
      <c r="D271">
        <f>VLOOKUP(A271,收盤價!A:C,3,0)</f>
        <v>18.8</v>
      </c>
      <c r="E271" s="187">
        <v>0.42965779467680609</v>
      </c>
      <c r="F271">
        <v>82.9</v>
      </c>
    </row>
    <row r="272" spans="1:6">
      <c r="A272">
        <v>6167</v>
      </c>
      <c r="B272" t="s">
        <v>1734</v>
      </c>
      <c r="C272">
        <v>2.91</v>
      </c>
      <c r="D272">
        <f>VLOOKUP(A272,收盤價!A:C,3,0)</f>
        <v>4.16</v>
      </c>
      <c r="E272" s="187">
        <v>0.42955326460481097</v>
      </c>
      <c r="F272">
        <v>82.84</v>
      </c>
    </row>
    <row r="273" spans="1:6">
      <c r="A273">
        <v>2404</v>
      </c>
      <c r="B273" t="s">
        <v>866</v>
      </c>
      <c r="C273">
        <v>29</v>
      </c>
      <c r="D273">
        <f>VLOOKUP(A273,收盤價!A:C,3,0)</f>
        <v>41.4</v>
      </c>
      <c r="E273" s="187">
        <v>0.42758620689655169</v>
      </c>
      <c r="F273">
        <v>82.78</v>
      </c>
    </row>
    <row r="274" spans="1:6">
      <c r="A274">
        <v>4737</v>
      </c>
      <c r="B274" t="s">
        <v>1203</v>
      </c>
      <c r="C274">
        <v>42.8</v>
      </c>
      <c r="D274">
        <f>VLOOKUP(A274,收盤價!A:C,3,0)</f>
        <v>61.1</v>
      </c>
      <c r="E274" s="187">
        <v>0.42757009345794406</v>
      </c>
      <c r="F274">
        <v>82.71</v>
      </c>
    </row>
    <row r="275" spans="1:6">
      <c r="A275">
        <v>2504</v>
      </c>
      <c r="B275" t="s">
        <v>942</v>
      </c>
      <c r="C275">
        <v>6.67</v>
      </c>
      <c r="D275">
        <f>VLOOKUP(A275,收盤價!A:C,3,0)</f>
        <v>9.52</v>
      </c>
      <c r="E275" s="187">
        <v>0.42728635682158916</v>
      </c>
      <c r="F275">
        <v>82.65</v>
      </c>
    </row>
    <row r="276" spans="1:6">
      <c r="A276">
        <v>4944</v>
      </c>
      <c r="B276" t="s">
        <v>1627</v>
      </c>
      <c r="C276">
        <v>8.59</v>
      </c>
      <c r="D276">
        <f>VLOOKUP(A276,收盤價!A:C,3,0)</f>
        <v>12.25</v>
      </c>
      <c r="E276" s="187">
        <v>0.42607683352735742</v>
      </c>
      <c r="F276">
        <v>82.59</v>
      </c>
    </row>
    <row r="277" spans="1:6">
      <c r="A277">
        <v>8234</v>
      </c>
      <c r="B277" t="s">
        <v>513</v>
      </c>
      <c r="C277">
        <v>21.6</v>
      </c>
      <c r="D277">
        <f>VLOOKUP(A277,收盤價!A:C,3,0)</f>
        <v>30.8</v>
      </c>
      <c r="E277" s="187">
        <v>0.42592592592592587</v>
      </c>
      <c r="F277">
        <v>82.52</v>
      </c>
    </row>
    <row r="278" spans="1:6">
      <c r="A278">
        <v>1707</v>
      </c>
      <c r="B278" t="s">
        <v>702</v>
      </c>
      <c r="C278">
        <v>134</v>
      </c>
      <c r="D278">
        <f>VLOOKUP(A278,收盤價!A:C,3,0)</f>
        <v>191</v>
      </c>
      <c r="E278" s="187">
        <v>0.42537313432835822</v>
      </c>
      <c r="F278">
        <v>82.46</v>
      </c>
    </row>
    <row r="279" spans="1:6">
      <c r="A279">
        <v>3484</v>
      </c>
      <c r="B279" t="s">
        <v>332</v>
      </c>
      <c r="C279">
        <v>24.75</v>
      </c>
      <c r="D279">
        <f>VLOOKUP(A279,收盤價!A:C,3,0)</f>
        <v>35.25</v>
      </c>
      <c r="E279" s="187">
        <v>0.42424242424242425</v>
      </c>
      <c r="F279">
        <v>82.4</v>
      </c>
    </row>
    <row r="280" spans="1:6">
      <c r="A280">
        <v>5371</v>
      </c>
      <c r="B280" t="s">
        <v>427</v>
      </c>
      <c r="C280">
        <v>21.7</v>
      </c>
      <c r="D280">
        <f>VLOOKUP(A280,收盤價!A:C,3,0)</f>
        <v>30.9</v>
      </c>
      <c r="E280" s="187">
        <v>0.42396313364055299</v>
      </c>
      <c r="F280">
        <v>82.33</v>
      </c>
    </row>
    <row r="281" spans="1:6">
      <c r="A281">
        <v>3673</v>
      </c>
      <c r="B281" t="s">
        <v>1169</v>
      </c>
      <c r="C281">
        <v>69.2</v>
      </c>
      <c r="D281">
        <f>VLOOKUP(A281,收盤價!A:C,3,0)</f>
        <v>98.5</v>
      </c>
      <c r="E281" s="187">
        <v>0.42341040462427743</v>
      </c>
      <c r="F281">
        <v>82.27</v>
      </c>
    </row>
    <row r="282" spans="1:6">
      <c r="A282">
        <v>3050</v>
      </c>
      <c r="B282" t="s">
        <v>1089</v>
      </c>
      <c r="C282">
        <v>6.92</v>
      </c>
      <c r="D282">
        <f>VLOOKUP(A282,收盤價!A:C,3,0)</f>
        <v>9.85</v>
      </c>
      <c r="E282" s="187">
        <v>0.42341040462427743</v>
      </c>
      <c r="F282">
        <v>82.21</v>
      </c>
    </row>
    <row r="283" spans="1:6">
      <c r="A283">
        <v>3114</v>
      </c>
      <c r="B283" t="s">
        <v>1476</v>
      </c>
      <c r="C283">
        <v>9.91</v>
      </c>
      <c r="D283">
        <f>VLOOKUP(A283,收盤價!A:C,3,0)</f>
        <v>14.1</v>
      </c>
      <c r="E283" s="187">
        <v>0.42280524722502516</v>
      </c>
      <c r="F283">
        <v>82.15</v>
      </c>
    </row>
    <row r="284" spans="1:6">
      <c r="A284">
        <v>6207</v>
      </c>
      <c r="B284" t="s">
        <v>471</v>
      </c>
      <c r="C284">
        <v>20.95</v>
      </c>
      <c r="D284">
        <f>VLOOKUP(A284,收盤價!A:C,3,0)</f>
        <v>29.8</v>
      </c>
      <c r="E284" s="187">
        <v>0.42243436754176616</v>
      </c>
      <c r="F284">
        <v>82.08</v>
      </c>
    </row>
    <row r="285" spans="1:6">
      <c r="A285">
        <v>6205</v>
      </c>
      <c r="B285" t="s">
        <v>1294</v>
      </c>
      <c r="C285">
        <v>20.9</v>
      </c>
      <c r="D285">
        <f>VLOOKUP(A285,收盤價!A:C,3,0)</f>
        <v>29.7</v>
      </c>
      <c r="E285" s="187">
        <v>0.42105263157894746</v>
      </c>
      <c r="F285">
        <v>82.02</v>
      </c>
    </row>
    <row r="286" spans="1:6">
      <c r="A286">
        <v>1592</v>
      </c>
      <c r="B286" t="s">
        <v>684</v>
      </c>
      <c r="C286">
        <v>21.2</v>
      </c>
      <c r="D286">
        <f>VLOOKUP(A286,收盤價!A:C,3,0)</f>
        <v>30.1</v>
      </c>
      <c r="E286" s="187">
        <v>0.41981132075471711</v>
      </c>
      <c r="F286">
        <v>81.96</v>
      </c>
    </row>
    <row r="287" spans="1:6">
      <c r="A287">
        <v>3037</v>
      </c>
      <c r="B287" t="s">
        <v>1077</v>
      </c>
      <c r="C287">
        <v>10.3</v>
      </c>
      <c r="D287">
        <f>VLOOKUP(A287,收盤價!A:C,3,0)</f>
        <v>14.6</v>
      </c>
      <c r="E287" s="187">
        <v>0.41747572815533968</v>
      </c>
      <c r="F287">
        <v>81.89</v>
      </c>
    </row>
    <row r="288" spans="1:6">
      <c r="A288">
        <v>3230</v>
      </c>
      <c r="B288" t="s">
        <v>1495</v>
      </c>
      <c r="C288">
        <v>4.3600000000000003</v>
      </c>
      <c r="D288">
        <f>VLOOKUP(A288,收盤價!A:C,3,0)</f>
        <v>6.18</v>
      </c>
      <c r="E288" s="187">
        <v>0.41743119266055029</v>
      </c>
      <c r="F288">
        <v>81.83</v>
      </c>
    </row>
    <row r="289" spans="1:6">
      <c r="A289">
        <v>3149</v>
      </c>
      <c r="B289" t="s">
        <v>1103</v>
      </c>
      <c r="C289">
        <v>9.56</v>
      </c>
      <c r="D289">
        <f>VLOOKUP(A289,收盤價!A:C,3,0)</f>
        <v>13.55</v>
      </c>
      <c r="E289" s="187">
        <v>0.41736401673640167</v>
      </c>
      <c r="F289">
        <v>81.77</v>
      </c>
    </row>
    <row r="290" spans="1:6">
      <c r="A290">
        <v>1737</v>
      </c>
      <c r="B290" t="s">
        <v>729</v>
      </c>
      <c r="C290">
        <v>18.350000000000001</v>
      </c>
      <c r="D290">
        <f>VLOOKUP(A290,收盤價!A:C,3,0)</f>
        <v>26</v>
      </c>
      <c r="E290" s="187">
        <v>0.41689373297002713</v>
      </c>
      <c r="F290">
        <v>81.7</v>
      </c>
    </row>
    <row r="291" spans="1:6">
      <c r="A291">
        <v>9945</v>
      </c>
      <c r="B291" t="s">
        <v>1433</v>
      </c>
      <c r="C291">
        <v>30.15</v>
      </c>
      <c r="D291">
        <f>VLOOKUP(A291,收盤價!A:C,3,0)</f>
        <v>42.7</v>
      </c>
      <c r="E291" s="187">
        <v>0.41625207296849104</v>
      </c>
      <c r="F291">
        <v>81.64</v>
      </c>
    </row>
    <row r="292" spans="1:6">
      <c r="A292">
        <v>6134</v>
      </c>
      <c r="B292" t="s">
        <v>1724</v>
      </c>
      <c r="C292">
        <v>4.76</v>
      </c>
      <c r="D292">
        <f>VLOOKUP(A292,收盤價!A:C,3,0)</f>
        <v>6.74</v>
      </c>
      <c r="E292" s="187">
        <v>0.41596638655462198</v>
      </c>
      <c r="F292">
        <v>81.58</v>
      </c>
    </row>
    <row r="293" spans="1:6">
      <c r="A293">
        <v>3583</v>
      </c>
      <c r="B293" t="s">
        <v>1153</v>
      </c>
      <c r="C293">
        <v>55.8</v>
      </c>
      <c r="D293">
        <f>VLOOKUP(A293,收盤價!A:C,3,0)</f>
        <v>79</v>
      </c>
      <c r="E293" s="187">
        <v>0.41577060931899651</v>
      </c>
      <c r="F293">
        <v>81.510000000000005</v>
      </c>
    </row>
    <row r="294" spans="1:6">
      <c r="A294">
        <v>5264</v>
      </c>
      <c r="B294" t="s">
        <v>1234</v>
      </c>
      <c r="C294">
        <v>112</v>
      </c>
      <c r="D294">
        <f>VLOOKUP(A294,收盤價!A:C,3,0)</f>
        <v>158.5</v>
      </c>
      <c r="E294" s="187">
        <v>0.41517857142857145</v>
      </c>
      <c r="F294">
        <v>81.45</v>
      </c>
    </row>
    <row r="295" spans="1:6">
      <c r="A295">
        <v>6116</v>
      </c>
      <c r="B295" t="s">
        <v>1264</v>
      </c>
      <c r="C295">
        <v>2.65</v>
      </c>
      <c r="D295">
        <f>VLOOKUP(A295,收盤價!A:C,3,0)</f>
        <v>3.75</v>
      </c>
      <c r="E295" s="187">
        <v>0.41509433962264158</v>
      </c>
      <c r="F295">
        <v>81.39</v>
      </c>
    </row>
    <row r="296" spans="1:6">
      <c r="A296">
        <v>5443</v>
      </c>
      <c r="B296" t="s">
        <v>1676</v>
      </c>
      <c r="C296">
        <v>9.4</v>
      </c>
      <c r="D296">
        <f>VLOOKUP(A296,收盤價!A:C,3,0)</f>
        <v>13.3</v>
      </c>
      <c r="E296" s="187">
        <v>0.41489361702127664</v>
      </c>
      <c r="F296">
        <v>81.319999999999993</v>
      </c>
    </row>
    <row r="297" spans="1:6">
      <c r="A297">
        <v>6211</v>
      </c>
      <c r="B297" t="s">
        <v>1748</v>
      </c>
      <c r="C297">
        <v>14.95</v>
      </c>
      <c r="D297">
        <f>VLOOKUP(A297,收盤價!A:C,3,0)</f>
        <v>21.15</v>
      </c>
      <c r="E297" s="187">
        <v>0.4147157190635451</v>
      </c>
      <c r="F297">
        <v>81.260000000000005</v>
      </c>
    </row>
    <row r="298" spans="1:6">
      <c r="A298">
        <v>3504</v>
      </c>
      <c r="B298" t="s">
        <v>1136</v>
      </c>
      <c r="C298">
        <v>27.1</v>
      </c>
      <c r="D298">
        <f>VLOOKUP(A298,收盤價!A:C,3,0)</f>
        <v>38.299999999999997</v>
      </c>
      <c r="E298" s="187">
        <v>0.41328413284132826</v>
      </c>
      <c r="F298">
        <v>81.2</v>
      </c>
    </row>
    <row r="299" spans="1:6">
      <c r="A299">
        <v>5490</v>
      </c>
      <c r="B299" t="s">
        <v>441</v>
      </c>
      <c r="C299">
        <v>54.6</v>
      </c>
      <c r="D299">
        <f>VLOOKUP(A299,收盤價!A:C,3,0)</f>
        <v>77.099999999999994</v>
      </c>
      <c r="E299" s="187">
        <v>0.41208791208791196</v>
      </c>
      <c r="F299">
        <v>81.14</v>
      </c>
    </row>
    <row r="300" spans="1:6">
      <c r="A300">
        <v>2376</v>
      </c>
      <c r="B300" t="s">
        <v>849</v>
      </c>
      <c r="C300">
        <v>24.75</v>
      </c>
      <c r="D300">
        <f>VLOOKUP(A300,收盤價!A:C,3,0)</f>
        <v>34.9</v>
      </c>
      <c r="E300" s="187">
        <v>0.41010101010101002</v>
      </c>
      <c r="F300">
        <v>81.069999999999993</v>
      </c>
    </row>
    <row r="301" spans="1:6">
      <c r="A301">
        <v>8420</v>
      </c>
      <c r="B301" t="s">
        <v>517</v>
      </c>
      <c r="C301">
        <v>16.350000000000001</v>
      </c>
      <c r="D301">
        <f>VLOOKUP(A301,收盤價!A:C,3,0)</f>
        <v>23.05</v>
      </c>
      <c r="E301" s="187">
        <v>0.40978593272171243</v>
      </c>
      <c r="F301">
        <v>81.010000000000005</v>
      </c>
    </row>
    <row r="302" spans="1:6">
      <c r="A302">
        <v>3169</v>
      </c>
      <c r="B302" t="s">
        <v>1484</v>
      </c>
      <c r="C302">
        <v>21</v>
      </c>
      <c r="D302">
        <f>VLOOKUP(A302,收盤價!A:C,3,0)</f>
        <v>29.6</v>
      </c>
      <c r="E302" s="187">
        <v>0.40952380952380957</v>
      </c>
      <c r="F302">
        <v>80.95</v>
      </c>
    </row>
    <row r="303" spans="1:6">
      <c r="A303">
        <v>2323</v>
      </c>
      <c r="B303" t="s">
        <v>809</v>
      </c>
      <c r="C303">
        <v>2.52</v>
      </c>
      <c r="D303">
        <f>VLOOKUP(A303,收盤價!A:C,3,0)</f>
        <v>3.55</v>
      </c>
      <c r="E303" s="187">
        <v>0.40873015873015867</v>
      </c>
      <c r="F303">
        <v>80.88</v>
      </c>
    </row>
    <row r="304" spans="1:6">
      <c r="A304">
        <v>3019</v>
      </c>
      <c r="B304" t="s">
        <v>1060</v>
      </c>
      <c r="C304">
        <v>23.95</v>
      </c>
      <c r="D304">
        <f>VLOOKUP(A304,收盤價!A:C,3,0)</f>
        <v>33.700000000000003</v>
      </c>
      <c r="E304" s="187">
        <v>0.40709812108559518</v>
      </c>
      <c r="F304">
        <v>80.819999999999993</v>
      </c>
    </row>
    <row r="305" spans="1:6">
      <c r="A305">
        <v>2363</v>
      </c>
      <c r="B305" t="s">
        <v>839</v>
      </c>
      <c r="C305">
        <v>4.7300000000000004</v>
      </c>
      <c r="D305">
        <f>VLOOKUP(A305,收盤價!A:C,3,0)</f>
        <v>6.65</v>
      </c>
      <c r="E305" s="187">
        <v>0.40591966173361516</v>
      </c>
      <c r="F305">
        <v>80.760000000000005</v>
      </c>
    </row>
    <row r="306" spans="1:6">
      <c r="A306">
        <v>2331</v>
      </c>
      <c r="B306" t="s">
        <v>816</v>
      </c>
      <c r="C306">
        <v>16.2</v>
      </c>
      <c r="D306">
        <f>VLOOKUP(A306,收盤價!A:C,3,0)</f>
        <v>22.75</v>
      </c>
      <c r="E306" s="187">
        <v>0.40432098765432106</v>
      </c>
      <c r="F306">
        <v>80.69</v>
      </c>
    </row>
    <row r="307" spans="1:6">
      <c r="A307">
        <v>3622</v>
      </c>
      <c r="B307" t="s">
        <v>1163</v>
      </c>
      <c r="C307">
        <v>8.1199999999999992</v>
      </c>
      <c r="D307">
        <f>VLOOKUP(A307,收盤價!A:C,3,0)</f>
        <v>11.4</v>
      </c>
      <c r="E307" s="187">
        <v>0.40394088669950756</v>
      </c>
      <c r="F307">
        <v>80.63</v>
      </c>
    </row>
    <row r="308" spans="1:6">
      <c r="A308">
        <v>4104</v>
      </c>
      <c r="B308" t="s">
        <v>1181</v>
      </c>
      <c r="C308">
        <v>37</v>
      </c>
      <c r="D308">
        <f>VLOOKUP(A308,收盤價!A:C,3,0)</f>
        <v>51.9</v>
      </c>
      <c r="E308" s="187">
        <v>0.40270270270270264</v>
      </c>
      <c r="F308">
        <v>80.569999999999993</v>
      </c>
    </row>
    <row r="309" spans="1:6">
      <c r="A309">
        <v>1305</v>
      </c>
      <c r="B309" t="s">
        <v>576</v>
      </c>
      <c r="C309">
        <v>10.95</v>
      </c>
      <c r="D309">
        <f>VLOOKUP(A309,收盤價!A:C,3,0)</f>
        <v>15.35</v>
      </c>
      <c r="E309" s="187">
        <v>0.40182648401826487</v>
      </c>
      <c r="F309">
        <v>80.5</v>
      </c>
    </row>
    <row r="310" spans="1:6">
      <c r="A310">
        <v>5309</v>
      </c>
      <c r="B310" t="s">
        <v>1655</v>
      </c>
      <c r="C310">
        <v>13.7</v>
      </c>
      <c r="D310">
        <f>VLOOKUP(A310,收盤價!A:C,3,0)</f>
        <v>19.2</v>
      </c>
      <c r="E310" s="187">
        <v>0.40145985401459855</v>
      </c>
      <c r="F310">
        <v>80.44</v>
      </c>
    </row>
    <row r="311" spans="1:6">
      <c r="A311">
        <v>3455</v>
      </c>
      <c r="B311" t="s">
        <v>329</v>
      </c>
      <c r="C311">
        <v>20.350000000000001</v>
      </c>
      <c r="D311">
        <f>VLOOKUP(A311,收盤價!A:C,3,0)</f>
        <v>28.5</v>
      </c>
      <c r="E311" s="187">
        <v>0.40049140049140042</v>
      </c>
      <c r="F311">
        <v>80.38</v>
      </c>
    </row>
    <row r="312" spans="1:6">
      <c r="A312">
        <v>6196</v>
      </c>
      <c r="B312" t="s">
        <v>1290</v>
      </c>
      <c r="C312">
        <v>16.25</v>
      </c>
      <c r="D312">
        <f>VLOOKUP(A312,收盤價!A:C,3,0)</f>
        <v>22.75</v>
      </c>
      <c r="E312" s="187">
        <v>0.4</v>
      </c>
      <c r="F312">
        <v>80.319999999999993</v>
      </c>
    </row>
    <row r="313" spans="1:6">
      <c r="A313">
        <v>8088</v>
      </c>
      <c r="B313" t="s">
        <v>511</v>
      </c>
      <c r="C313">
        <v>12.25</v>
      </c>
      <c r="D313">
        <f>VLOOKUP(A313,收盤價!A:C,3,0)</f>
        <v>17.149999999999999</v>
      </c>
      <c r="E313" s="187">
        <v>0.39999999999999991</v>
      </c>
      <c r="F313">
        <v>80.25</v>
      </c>
    </row>
    <row r="314" spans="1:6">
      <c r="A314">
        <v>3450</v>
      </c>
      <c r="B314" t="s">
        <v>1130</v>
      </c>
      <c r="C314">
        <v>98.6</v>
      </c>
      <c r="D314">
        <f>VLOOKUP(A314,收盤價!A:C,3,0)</f>
        <v>138</v>
      </c>
      <c r="E314" s="187">
        <v>0.39959432048681548</v>
      </c>
      <c r="F314">
        <v>80.19</v>
      </c>
    </row>
    <row r="315" spans="1:6">
      <c r="A315">
        <v>1787</v>
      </c>
      <c r="B315" t="s">
        <v>271</v>
      </c>
      <c r="C315">
        <v>16.899999999999999</v>
      </c>
      <c r="D315">
        <f>VLOOKUP(A315,收盤價!A:C,3,0)</f>
        <v>23.65</v>
      </c>
      <c r="E315" s="187">
        <v>0.39940828402366868</v>
      </c>
      <c r="F315">
        <v>80.13</v>
      </c>
    </row>
    <row r="316" spans="1:6">
      <c r="A316">
        <v>6129</v>
      </c>
      <c r="B316" t="s">
        <v>1723</v>
      </c>
      <c r="C316">
        <v>5.27</v>
      </c>
      <c r="D316">
        <f>VLOOKUP(A316,收盤價!A:C,3,0)</f>
        <v>7.37</v>
      </c>
      <c r="E316" s="187">
        <v>0.39848197343453523</v>
      </c>
      <c r="F316">
        <v>80.06</v>
      </c>
    </row>
    <row r="317" spans="1:6">
      <c r="A317">
        <v>3044</v>
      </c>
      <c r="B317" t="s">
        <v>1083</v>
      </c>
      <c r="C317">
        <v>41.5</v>
      </c>
      <c r="D317">
        <f>VLOOKUP(A317,收盤價!A:C,3,0)</f>
        <v>58</v>
      </c>
      <c r="E317" s="187">
        <v>0.39759036144578314</v>
      </c>
      <c r="F317">
        <v>80</v>
      </c>
    </row>
    <row r="318" spans="1:6">
      <c r="A318">
        <v>4933</v>
      </c>
      <c r="B318" t="s">
        <v>396</v>
      </c>
      <c r="C318">
        <v>18.899999999999999</v>
      </c>
      <c r="D318">
        <f>VLOOKUP(A318,收盤價!A:C,3,0)</f>
        <v>26.4</v>
      </c>
      <c r="E318" s="187">
        <v>0.39682539682539686</v>
      </c>
      <c r="F318">
        <v>79.94</v>
      </c>
    </row>
    <row r="319" spans="1:6">
      <c r="A319">
        <v>2340</v>
      </c>
      <c r="B319" t="s">
        <v>820</v>
      </c>
      <c r="C319">
        <v>7.41</v>
      </c>
      <c r="D319">
        <f>VLOOKUP(A319,收盤價!A:C,3,0)</f>
        <v>10.35</v>
      </c>
      <c r="E319" s="187">
        <v>0.39676113360323878</v>
      </c>
      <c r="F319">
        <v>79.87</v>
      </c>
    </row>
    <row r="320" spans="1:6">
      <c r="A320">
        <v>6426</v>
      </c>
      <c r="B320" t="s">
        <v>495</v>
      </c>
      <c r="C320">
        <v>25.2</v>
      </c>
      <c r="D320">
        <f>VLOOKUP(A320,收盤價!A:C,3,0)</f>
        <v>35.15</v>
      </c>
      <c r="E320" s="187">
        <v>0.39484126984126983</v>
      </c>
      <c r="F320">
        <v>79.81</v>
      </c>
    </row>
    <row r="321" spans="1:6">
      <c r="A321">
        <v>3287</v>
      </c>
      <c r="B321" t="s">
        <v>1500</v>
      </c>
      <c r="C321">
        <v>6.54</v>
      </c>
      <c r="D321">
        <f>VLOOKUP(A321,收盤價!A:C,3,0)</f>
        <v>9.1199999999999992</v>
      </c>
      <c r="E321" s="187">
        <v>0.39449541284403655</v>
      </c>
      <c r="F321">
        <v>79.75</v>
      </c>
    </row>
    <row r="322" spans="1:6">
      <c r="A322">
        <v>6142</v>
      </c>
      <c r="B322" t="s">
        <v>1273</v>
      </c>
      <c r="C322">
        <v>3.5</v>
      </c>
      <c r="D322">
        <f>VLOOKUP(A322,收盤價!A:C,3,0)</f>
        <v>4.88</v>
      </c>
      <c r="E322" s="187">
        <v>0.39428571428571424</v>
      </c>
      <c r="F322">
        <v>79.680000000000007</v>
      </c>
    </row>
    <row r="323" spans="1:6">
      <c r="A323">
        <v>3588</v>
      </c>
      <c r="B323" t="s">
        <v>1155</v>
      </c>
      <c r="C323">
        <v>21.95</v>
      </c>
      <c r="D323">
        <f>VLOOKUP(A323,收盤價!A:C,3,0)</f>
        <v>30.6</v>
      </c>
      <c r="E323" s="187">
        <v>0.39407744874715273</v>
      </c>
      <c r="F323">
        <v>79.62</v>
      </c>
    </row>
    <row r="324" spans="1:6">
      <c r="A324">
        <v>4987</v>
      </c>
      <c r="B324" t="s">
        <v>1635</v>
      </c>
      <c r="C324">
        <v>59.3</v>
      </c>
      <c r="D324">
        <f>VLOOKUP(A324,收盤價!A:C,3,0)</f>
        <v>82.6</v>
      </c>
      <c r="E324" s="187">
        <v>0.39291736930860033</v>
      </c>
      <c r="F324">
        <v>79.56</v>
      </c>
    </row>
    <row r="325" spans="1:6">
      <c r="A325">
        <v>3698</v>
      </c>
      <c r="B325" t="s">
        <v>1174</v>
      </c>
      <c r="C325">
        <v>12.1</v>
      </c>
      <c r="D325">
        <f>VLOOKUP(A325,收盤價!A:C,3,0)</f>
        <v>16.850000000000001</v>
      </c>
      <c r="E325" s="187">
        <v>0.39256198347107452</v>
      </c>
      <c r="F325">
        <v>79.5</v>
      </c>
    </row>
    <row r="326" spans="1:6">
      <c r="A326">
        <v>6185</v>
      </c>
      <c r="B326" t="s">
        <v>1739</v>
      </c>
      <c r="C326">
        <v>17.45</v>
      </c>
      <c r="D326">
        <f>VLOOKUP(A326,收盤價!A:C,3,0)</f>
        <v>24.3</v>
      </c>
      <c r="E326" s="187">
        <v>0.39255014326647575</v>
      </c>
      <c r="F326">
        <v>79.430000000000007</v>
      </c>
    </row>
    <row r="327" spans="1:6">
      <c r="A327">
        <v>1777</v>
      </c>
      <c r="B327" t="s">
        <v>270</v>
      </c>
      <c r="C327">
        <v>65.8</v>
      </c>
      <c r="D327">
        <f>VLOOKUP(A327,收盤價!A:C,3,0)</f>
        <v>91.6</v>
      </c>
      <c r="E327" s="187">
        <v>0.39209726443768994</v>
      </c>
      <c r="F327">
        <v>79.37</v>
      </c>
    </row>
    <row r="328" spans="1:6">
      <c r="A328">
        <v>3264</v>
      </c>
      <c r="B328" t="s">
        <v>1498</v>
      </c>
      <c r="C328">
        <v>17.100000000000001</v>
      </c>
      <c r="D328">
        <f>VLOOKUP(A328,收盤價!A:C,3,0)</f>
        <v>23.8</v>
      </c>
      <c r="E328" s="187">
        <v>0.39181286549707595</v>
      </c>
      <c r="F328">
        <v>79.31</v>
      </c>
    </row>
    <row r="329" spans="1:6">
      <c r="A329">
        <v>8429</v>
      </c>
      <c r="B329" t="s">
        <v>1369</v>
      </c>
      <c r="C329">
        <v>49.95</v>
      </c>
      <c r="D329">
        <f>VLOOKUP(A329,收盤價!A:C,3,0)</f>
        <v>69.5</v>
      </c>
      <c r="E329" s="187">
        <v>0.39139139139139129</v>
      </c>
      <c r="F329">
        <v>79.239999999999995</v>
      </c>
    </row>
    <row r="330" spans="1:6">
      <c r="A330">
        <v>2428</v>
      </c>
      <c r="B330" t="s">
        <v>884</v>
      </c>
      <c r="C330">
        <v>35.950000000000003</v>
      </c>
      <c r="D330">
        <f>VLOOKUP(A330,收盤價!A:C,3,0)</f>
        <v>50</v>
      </c>
      <c r="E330" s="187">
        <v>0.39082058414464521</v>
      </c>
      <c r="F330">
        <v>79.180000000000007</v>
      </c>
    </row>
    <row r="331" spans="1:6">
      <c r="A331">
        <v>1752</v>
      </c>
      <c r="B331" t="s">
        <v>269</v>
      </c>
      <c r="C331">
        <v>35</v>
      </c>
      <c r="D331">
        <f>VLOOKUP(A331,收盤價!A:C,3,0)</f>
        <v>48.6</v>
      </c>
      <c r="E331" s="187">
        <v>0.38857142857142862</v>
      </c>
      <c r="F331">
        <v>79.12</v>
      </c>
    </row>
    <row r="332" spans="1:6">
      <c r="A332">
        <v>2855</v>
      </c>
      <c r="B332" t="s">
        <v>1016</v>
      </c>
      <c r="C332">
        <v>10.45</v>
      </c>
      <c r="D332">
        <f>VLOOKUP(A332,收盤價!A:C,3,0)</f>
        <v>14.5</v>
      </c>
      <c r="E332" s="187">
        <v>0.38755980861244027</v>
      </c>
      <c r="F332">
        <v>79.05</v>
      </c>
    </row>
    <row r="333" spans="1:6">
      <c r="A333">
        <v>6103</v>
      </c>
      <c r="B333" t="s">
        <v>1709</v>
      </c>
      <c r="C333">
        <v>6.27</v>
      </c>
      <c r="D333">
        <f>VLOOKUP(A333,收盤價!A:C,3,0)</f>
        <v>8.6999999999999993</v>
      </c>
      <c r="E333" s="187">
        <v>0.38755980861244016</v>
      </c>
      <c r="F333">
        <v>78.989999999999995</v>
      </c>
    </row>
    <row r="334" spans="1:6">
      <c r="A334">
        <v>3202</v>
      </c>
      <c r="B334" t="s">
        <v>1487</v>
      </c>
      <c r="C334">
        <v>4.47</v>
      </c>
      <c r="D334">
        <f>VLOOKUP(A334,收盤價!A:C,3,0)</f>
        <v>6.2</v>
      </c>
      <c r="E334" s="187">
        <v>0.38702460850111869</v>
      </c>
      <c r="F334">
        <v>78.930000000000007</v>
      </c>
    </row>
    <row r="335" spans="1:6">
      <c r="A335">
        <v>910861</v>
      </c>
      <c r="B335" t="s">
        <v>1383</v>
      </c>
      <c r="C335">
        <v>14.5</v>
      </c>
      <c r="D335">
        <f>VLOOKUP(A335,收盤價!A:C,3,0)</f>
        <v>20.100000000000001</v>
      </c>
      <c r="E335" s="187">
        <v>0.38620689655172424</v>
      </c>
      <c r="F335">
        <v>78.86</v>
      </c>
    </row>
    <row r="336" spans="1:6">
      <c r="A336">
        <v>2221</v>
      </c>
      <c r="B336" t="s">
        <v>1456</v>
      </c>
      <c r="C336">
        <v>14</v>
      </c>
      <c r="D336">
        <f>VLOOKUP(A336,收盤價!A:C,3,0)</f>
        <v>19.399999999999999</v>
      </c>
      <c r="E336" s="187">
        <v>0.38571428571428562</v>
      </c>
      <c r="F336">
        <v>78.8</v>
      </c>
    </row>
    <row r="337" spans="1:6">
      <c r="A337">
        <v>2351</v>
      </c>
      <c r="B337" t="s">
        <v>827</v>
      </c>
      <c r="C337">
        <v>21.4</v>
      </c>
      <c r="D337">
        <f>VLOOKUP(A337,收盤價!A:C,3,0)</f>
        <v>29.65</v>
      </c>
      <c r="E337" s="187">
        <v>0.3855140186915888</v>
      </c>
      <c r="F337">
        <v>78.739999999999995</v>
      </c>
    </row>
    <row r="338" spans="1:6">
      <c r="A338">
        <v>3515</v>
      </c>
      <c r="B338" t="s">
        <v>1138</v>
      </c>
      <c r="C338">
        <v>34.299999999999997</v>
      </c>
      <c r="D338">
        <f>VLOOKUP(A338,收盤價!A:C,3,0)</f>
        <v>47.5</v>
      </c>
      <c r="E338" s="187">
        <v>0.3848396501457727</v>
      </c>
      <c r="F338">
        <v>78.680000000000007</v>
      </c>
    </row>
    <row r="339" spans="1:6">
      <c r="A339">
        <v>6432</v>
      </c>
      <c r="B339" t="s">
        <v>1773</v>
      </c>
      <c r="C339">
        <v>23</v>
      </c>
      <c r="D339">
        <f>VLOOKUP(A339,收盤價!A:C,3,0)</f>
        <v>31.85</v>
      </c>
      <c r="E339" s="187">
        <v>0.38478260869565223</v>
      </c>
      <c r="F339">
        <v>78.61</v>
      </c>
    </row>
    <row r="340" spans="1:6">
      <c r="A340">
        <v>4198</v>
      </c>
      <c r="B340" t="s">
        <v>376</v>
      </c>
      <c r="C340">
        <v>30</v>
      </c>
      <c r="D340">
        <f>VLOOKUP(A340,收盤價!A:C,3,0)</f>
        <v>41.5</v>
      </c>
      <c r="E340" s="187">
        <v>0.38333333333333336</v>
      </c>
      <c r="F340">
        <v>78.55</v>
      </c>
    </row>
    <row r="341" spans="1:6">
      <c r="A341">
        <v>4911</v>
      </c>
      <c r="B341" t="s">
        <v>395</v>
      </c>
      <c r="C341">
        <v>61.6</v>
      </c>
      <c r="D341">
        <f>VLOOKUP(A341,收盤價!A:C,3,0)</f>
        <v>85.2</v>
      </c>
      <c r="E341" s="187">
        <v>0.38311688311688313</v>
      </c>
      <c r="F341">
        <v>78.489999999999995</v>
      </c>
    </row>
    <row r="342" spans="1:6">
      <c r="A342">
        <v>8049</v>
      </c>
      <c r="B342" t="s">
        <v>1787</v>
      </c>
      <c r="C342">
        <v>6.92</v>
      </c>
      <c r="D342">
        <f>VLOOKUP(A342,收盤價!A:C,3,0)</f>
        <v>9.57</v>
      </c>
      <c r="E342" s="187">
        <v>0.38294797687861276</v>
      </c>
      <c r="F342">
        <v>78.42</v>
      </c>
    </row>
    <row r="343" spans="1:6">
      <c r="A343">
        <v>8403</v>
      </c>
      <c r="B343" t="s">
        <v>1828</v>
      </c>
      <c r="C343">
        <v>35.299999999999997</v>
      </c>
      <c r="D343">
        <f>VLOOKUP(A343,收盤價!A:C,3,0)</f>
        <v>48.8</v>
      </c>
      <c r="E343" s="187">
        <v>0.3824362606232295</v>
      </c>
      <c r="F343">
        <v>78.36</v>
      </c>
    </row>
    <row r="344" spans="1:6">
      <c r="A344">
        <v>6456</v>
      </c>
      <c r="B344" t="s">
        <v>1332</v>
      </c>
      <c r="C344">
        <v>106</v>
      </c>
      <c r="D344">
        <f>VLOOKUP(A344,收盤價!A:C,3,0)</f>
        <v>146.5</v>
      </c>
      <c r="E344" s="187">
        <v>0.38207547169811323</v>
      </c>
      <c r="F344">
        <v>78.3</v>
      </c>
    </row>
    <row r="345" spans="1:6">
      <c r="A345">
        <v>6239</v>
      </c>
      <c r="B345" t="s">
        <v>1306</v>
      </c>
      <c r="C345">
        <v>52.1</v>
      </c>
      <c r="D345">
        <f>VLOOKUP(A345,收盤價!A:C,3,0)</f>
        <v>72</v>
      </c>
      <c r="E345" s="187">
        <v>0.38195777351247595</v>
      </c>
      <c r="F345">
        <v>78.23</v>
      </c>
    </row>
    <row r="346" spans="1:6">
      <c r="A346">
        <v>4141</v>
      </c>
      <c r="B346" t="s">
        <v>1187</v>
      </c>
      <c r="C346">
        <v>28.8</v>
      </c>
      <c r="D346">
        <f>VLOOKUP(A346,收盤價!A:C,3,0)</f>
        <v>39.799999999999997</v>
      </c>
      <c r="E346" s="187">
        <v>0.38194444444444431</v>
      </c>
      <c r="F346">
        <v>78.17</v>
      </c>
    </row>
    <row r="347" spans="1:6">
      <c r="A347">
        <v>4979</v>
      </c>
      <c r="B347" t="s">
        <v>401</v>
      </c>
      <c r="C347">
        <v>57.9</v>
      </c>
      <c r="D347">
        <f>VLOOKUP(A347,收盤價!A:C,3,0)</f>
        <v>80</v>
      </c>
      <c r="E347" s="187">
        <v>0.38169257340241802</v>
      </c>
      <c r="F347">
        <v>78.11</v>
      </c>
    </row>
    <row r="348" spans="1:6">
      <c r="A348">
        <v>4127</v>
      </c>
      <c r="B348" t="s">
        <v>1571</v>
      </c>
      <c r="C348">
        <v>18.100000000000001</v>
      </c>
      <c r="D348">
        <f>VLOOKUP(A348,收盤價!A:C,3,0)</f>
        <v>25</v>
      </c>
      <c r="E348" s="187">
        <v>0.38121546961325958</v>
      </c>
      <c r="F348">
        <v>78.040000000000006</v>
      </c>
    </row>
    <row r="349" spans="1:6">
      <c r="A349">
        <v>6143</v>
      </c>
      <c r="B349" t="s">
        <v>1727</v>
      </c>
      <c r="C349">
        <v>46.2</v>
      </c>
      <c r="D349">
        <f>VLOOKUP(A349,收盤價!A:C,3,0)</f>
        <v>63.8</v>
      </c>
      <c r="E349" s="187">
        <v>0.38095238095238082</v>
      </c>
      <c r="F349">
        <v>77.98</v>
      </c>
    </row>
    <row r="350" spans="1:6">
      <c r="A350">
        <v>8427</v>
      </c>
      <c r="B350" t="s">
        <v>1368</v>
      </c>
      <c r="C350">
        <v>40.799999999999997</v>
      </c>
      <c r="D350">
        <f>VLOOKUP(A350,收盤價!A:C,3,0)</f>
        <v>56.3</v>
      </c>
      <c r="E350" s="187">
        <v>0.37990196078431376</v>
      </c>
      <c r="F350">
        <v>77.92</v>
      </c>
    </row>
    <row r="351" spans="1:6">
      <c r="A351">
        <v>6202</v>
      </c>
      <c r="B351" t="s">
        <v>1293</v>
      </c>
      <c r="C351">
        <v>36.200000000000003</v>
      </c>
      <c r="D351">
        <f>VLOOKUP(A351,收盤價!A:C,3,0)</f>
        <v>49.95</v>
      </c>
      <c r="E351" s="187">
        <v>0.37983425414364635</v>
      </c>
      <c r="F351">
        <v>77.849999999999994</v>
      </c>
    </row>
    <row r="352" spans="1:6">
      <c r="A352">
        <v>3491</v>
      </c>
      <c r="B352" t="s">
        <v>1524</v>
      </c>
      <c r="C352">
        <v>54.5</v>
      </c>
      <c r="D352">
        <f>VLOOKUP(A352,收盤價!A:C,3,0)</f>
        <v>75.2</v>
      </c>
      <c r="E352" s="187">
        <v>0.37981651376146797</v>
      </c>
      <c r="F352">
        <v>77.790000000000006</v>
      </c>
    </row>
    <row r="353" spans="1:6">
      <c r="A353">
        <v>6138</v>
      </c>
      <c r="B353" t="s">
        <v>1725</v>
      </c>
      <c r="C353">
        <v>15.15</v>
      </c>
      <c r="D353">
        <f>VLOOKUP(A353,收盤價!A:C,3,0)</f>
        <v>20.9</v>
      </c>
      <c r="E353" s="187">
        <v>0.37953795379537941</v>
      </c>
      <c r="F353">
        <v>77.73</v>
      </c>
    </row>
    <row r="354" spans="1:6">
      <c r="A354">
        <v>4120</v>
      </c>
      <c r="B354" t="s">
        <v>365</v>
      </c>
      <c r="C354">
        <v>43.5</v>
      </c>
      <c r="D354">
        <f>VLOOKUP(A354,收盤價!A:C,3,0)</f>
        <v>60</v>
      </c>
      <c r="E354" s="187">
        <v>0.37931034482758619</v>
      </c>
      <c r="F354">
        <v>77.67</v>
      </c>
    </row>
    <row r="355" spans="1:6">
      <c r="A355">
        <v>6405</v>
      </c>
      <c r="B355" t="s">
        <v>1320</v>
      </c>
      <c r="C355">
        <v>17.05</v>
      </c>
      <c r="D355">
        <f>VLOOKUP(A355,收盤價!A:C,3,0)</f>
        <v>23.5</v>
      </c>
      <c r="E355" s="187">
        <v>0.37829912023460405</v>
      </c>
      <c r="F355">
        <v>77.599999999999994</v>
      </c>
    </row>
    <row r="356" spans="1:6">
      <c r="A356">
        <v>4157</v>
      </c>
      <c r="B356" t="s">
        <v>1578</v>
      </c>
      <c r="C356">
        <v>21.95</v>
      </c>
      <c r="D356">
        <f>VLOOKUP(A356,收盤價!A:C,3,0)</f>
        <v>30.25</v>
      </c>
      <c r="E356" s="187">
        <v>0.37813211845102512</v>
      </c>
      <c r="F356">
        <v>77.540000000000006</v>
      </c>
    </row>
    <row r="357" spans="1:6">
      <c r="A357">
        <v>2028</v>
      </c>
      <c r="B357" t="s">
        <v>766</v>
      </c>
      <c r="C357">
        <v>1.27</v>
      </c>
      <c r="D357">
        <f>VLOOKUP(A357,收盤價!A:C,3,0)</f>
        <v>1.75</v>
      </c>
      <c r="E357" s="187">
        <v>0.37795275590551181</v>
      </c>
      <c r="F357">
        <v>77.48</v>
      </c>
    </row>
    <row r="358" spans="1:6">
      <c r="A358">
        <v>3014</v>
      </c>
      <c r="B358" t="s">
        <v>1056</v>
      </c>
      <c r="C358">
        <v>20.8</v>
      </c>
      <c r="D358">
        <f>VLOOKUP(A358,收盤價!A:C,3,0)</f>
        <v>28.65</v>
      </c>
      <c r="E358" s="187">
        <v>0.37740384615384603</v>
      </c>
      <c r="F358">
        <v>77.41</v>
      </c>
    </row>
    <row r="359" spans="1:6">
      <c r="A359">
        <v>8422</v>
      </c>
      <c r="B359" t="s">
        <v>1367</v>
      </c>
      <c r="C359">
        <v>130</v>
      </c>
      <c r="D359">
        <f>VLOOKUP(A359,收盤價!A:C,3,0)</f>
        <v>179</v>
      </c>
      <c r="E359" s="187">
        <v>0.37692307692307692</v>
      </c>
      <c r="F359">
        <v>77.349999999999994</v>
      </c>
    </row>
    <row r="360" spans="1:6">
      <c r="A360">
        <v>6442</v>
      </c>
      <c r="B360" t="s">
        <v>1327</v>
      </c>
      <c r="C360">
        <v>41.5</v>
      </c>
      <c r="D360">
        <f>VLOOKUP(A360,收盤價!A:C,3,0)</f>
        <v>57.1</v>
      </c>
      <c r="E360" s="187">
        <v>0.37590361445783138</v>
      </c>
      <c r="F360">
        <v>77.290000000000006</v>
      </c>
    </row>
    <row r="361" spans="1:6">
      <c r="A361">
        <v>5203</v>
      </c>
      <c r="B361" t="s">
        <v>1228</v>
      </c>
      <c r="C361">
        <v>52.2</v>
      </c>
      <c r="D361">
        <f>VLOOKUP(A361,收盤價!A:C,3,0)</f>
        <v>71.8</v>
      </c>
      <c r="E361" s="187">
        <v>0.37547892720306503</v>
      </c>
      <c r="F361">
        <v>77.22</v>
      </c>
    </row>
    <row r="362" spans="1:6">
      <c r="A362">
        <v>8996</v>
      </c>
      <c r="B362" t="s">
        <v>1375</v>
      </c>
      <c r="C362">
        <v>31.05</v>
      </c>
      <c r="D362">
        <f>VLOOKUP(A362,收盤價!A:C,3,0)</f>
        <v>42.7</v>
      </c>
      <c r="E362" s="187">
        <v>0.37520128824476656</v>
      </c>
      <c r="F362">
        <v>77.16</v>
      </c>
    </row>
    <row r="363" spans="1:6">
      <c r="A363">
        <v>3501</v>
      </c>
      <c r="B363" t="s">
        <v>1135</v>
      </c>
      <c r="C363">
        <v>39.5</v>
      </c>
      <c r="D363">
        <f>VLOOKUP(A363,收盤價!A:C,3,0)</f>
        <v>54.3</v>
      </c>
      <c r="E363" s="187">
        <v>0.37468354430379741</v>
      </c>
      <c r="F363">
        <v>77.099999999999994</v>
      </c>
    </row>
    <row r="364" spans="1:6">
      <c r="A364">
        <v>3118</v>
      </c>
      <c r="B364" t="s">
        <v>1478</v>
      </c>
      <c r="C364">
        <v>30</v>
      </c>
      <c r="D364">
        <f>VLOOKUP(A364,收盤價!A:C,3,0)</f>
        <v>41.2</v>
      </c>
      <c r="E364" s="187">
        <v>0.37333333333333341</v>
      </c>
      <c r="F364">
        <v>77.03</v>
      </c>
    </row>
    <row r="365" spans="1:6">
      <c r="A365">
        <v>8163</v>
      </c>
      <c r="B365" t="s">
        <v>1354</v>
      </c>
      <c r="C365">
        <v>13</v>
      </c>
      <c r="D365">
        <f>VLOOKUP(A365,收盤價!A:C,3,0)</f>
        <v>17.850000000000001</v>
      </c>
      <c r="E365" s="187">
        <v>0.37307692307692319</v>
      </c>
      <c r="F365">
        <v>76.97</v>
      </c>
    </row>
    <row r="366" spans="1:6">
      <c r="A366">
        <v>2464</v>
      </c>
      <c r="B366" t="s">
        <v>913</v>
      </c>
      <c r="C366">
        <v>22.4</v>
      </c>
      <c r="D366">
        <f>VLOOKUP(A366,收盤價!A:C,3,0)</f>
        <v>30.75</v>
      </c>
      <c r="E366" s="187">
        <v>0.37276785714285721</v>
      </c>
      <c r="F366">
        <v>76.91</v>
      </c>
    </row>
    <row r="367" spans="1:6">
      <c r="A367">
        <v>6290</v>
      </c>
      <c r="B367" t="s">
        <v>1767</v>
      </c>
      <c r="C367">
        <v>17.850000000000001</v>
      </c>
      <c r="D367">
        <f>VLOOKUP(A367,收盤價!A:C,3,0)</f>
        <v>24.5</v>
      </c>
      <c r="E367" s="187">
        <v>0.37254901960784303</v>
      </c>
      <c r="F367">
        <v>76.849999999999994</v>
      </c>
    </row>
    <row r="368" spans="1:6">
      <c r="A368">
        <v>2465</v>
      </c>
      <c r="B368" t="s">
        <v>914</v>
      </c>
      <c r="C368">
        <v>7.4</v>
      </c>
      <c r="D368">
        <f>VLOOKUP(A368,收盤價!A:C,3,0)</f>
        <v>10.15</v>
      </c>
      <c r="E368" s="187">
        <v>0.3716216216216216</v>
      </c>
      <c r="F368">
        <v>76.78</v>
      </c>
    </row>
    <row r="369" spans="1:6">
      <c r="A369">
        <v>1467</v>
      </c>
      <c r="B369" t="s">
        <v>636</v>
      </c>
      <c r="C369">
        <v>10.5</v>
      </c>
      <c r="D369">
        <f>VLOOKUP(A369,收盤價!A:C,3,0)</f>
        <v>14.4</v>
      </c>
      <c r="E369" s="187">
        <v>0.37142857142857144</v>
      </c>
      <c r="F369">
        <v>76.72</v>
      </c>
    </row>
    <row r="370" spans="1:6">
      <c r="A370">
        <v>2328</v>
      </c>
      <c r="B370" t="s">
        <v>813</v>
      </c>
      <c r="C370">
        <v>10.65</v>
      </c>
      <c r="D370">
        <f>VLOOKUP(A370,收盤價!A:C,3,0)</f>
        <v>14.6</v>
      </c>
      <c r="E370" s="187">
        <v>0.37089201877934264</v>
      </c>
      <c r="F370">
        <v>76.66</v>
      </c>
    </row>
    <row r="371" spans="1:6">
      <c r="A371">
        <v>3559</v>
      </c>
      <c r="B371" t="s">
        <v>1148</v>
      </c>
      <c r="C371">
        <v>15.95</v>
      </c>
      <c r="D371">
        <f>VLOOKUP(A371,收盤價!A:C,3,0)</f>
        <v>21.85</v>
      </c>
      <c r="E371" s="187">
        <v>0.36990595611285282</v>
      </c>
      <c r="F371">
        <v>76.59</v>
      </c>
    </row>
    <row r="372" spans="1:6">
      <c r="A372">
        <v>5272</v>
      </c>
      <c r="B372" t="s">
        <v>413</v>
      </c>
      <c r="C372">
        <v>29.35</v>
      </c>
      <c r="D372">
        <f>VLOOKUP(A372,收盤價!A:C,3,0)</f>
        <v>40.200000000000003</v>
      </c>
      <c r="E372" s="187">
        <v>0.36967632027257241</v>
      </c>
      <c r="F372">
        <v>76.53</v>
      </c>
    </row>
    <row r="373" spans="1:6">
      <c r="A373">
        <v>5007</v>
      </c>
      <c r="B373" t="s">
        <v>1227</v>
      </c>
      <c r="C373">
        <v>46.6</v>
      </c>
      <c r="D373">
        <f>VLOOKUP(A373,收盤價!A:C,3,0)</f>
        <v>63.8</v>
      </c>
      <c r="E373" s="187">
        <v>0.36909871244635184</v>
      </c>
      <c r="F373">
        <v>76.47</v>
      </c>
    </row>
    <row r="374" spans="1:6">
      <c r="A374">
        <v>2420</v>
      </c>
      <c r="B374" t="s">
        <v>877</v>
      </c>
      <c r="C374">
        <v>32.299999999999997</v>
      </c>
      <c r="D374">
        <f>VLOOKUP(A374,收盤價!A:C,3,0)</f>
        <v>44.2</v>
      </c>
      <c r="E374" s="187">
        <v>0.36842105263157915</v>
      </c>
      <c r="F374">
        <v>76.400000000000006</v>
      </c>
    </row>
    <row r="375" spans="1:6">
      <c r="A375">
        <v>8437</v>
      </c>
      <c r="B375" t="s">
        <v>1835</v>
      </c>
      <c r="C375">
        <v>104.5</v>
      </c>
      <c r="D375">
        <f>VLOOKUP(A375,收盤價!A:C,3,0)</f>
        <v>143</v>
      </c>
      <c r="E375" s="187">
        <v>0.36842105263157893</v>
      </c>
      <c r="F375">
        <v>76.34</v>
      </c>
    </row>
    <row r="376" spans="1:6">
      <c r="A376">
        <v>3064</v>
      </c>
      <c r="B376" t="s">
        <v>1468</v>
      </c>
      <c r="C376">
        <v>15.35</v>
      </c>
      <c r="D376">
        <f>VLOOKUP(A376,收盤價!A:C,3,0)</f>
        <v>21</v>
      </c>
      <c r="E376" s="187">
        <v>0.36807817589576552</v>
      </c>
      <c r="F376">
        <v>76.28</v>
      </c>
    </row>
    <row r="377" spans="1:6">
      <c r="A377">
        <v>4144</v>
      </c>
      <c r="B377" t="s">
        <v>1189</v>
      </c>
      <c r="C377">
        <v>43.95</v>
      </c>
      <c r="D377">
        <f>VLOOKUP(A377,收盤價!A:C,3,0)</f>
        <v>60.1</v>
      </c>
      <c r="E377" s="187">
        <v>0.36746302616609777</v>
      </c>
      <c r="F377">
        <v>76.209999999999994</v>
      </c>
    </row>
    <row r="378" spans="1:6">
      <c r="A378">
        <v>3533</v>
      </c>
      <c r="B378" t="s">
        <v>1142</v>
      </c>
      <c r="C378">
        <v>86.3</v>
      </c>
      <c r="D378">
        <f>VLOOKUP(A378,收盤價!A:C,3,0)</f>
        <v>118</v>
      </c>
      <c r="E378" s="187">
        <v>0.3673232908458865</v>
      </c>
      <c r="F378">
        <v>76.150000000000006</v>
      </c>
    </row>
    <row r="379" spans="1:6">
      <c r="A379">
        <v>8027</v>
      </c>
      <c r="B379" t="s">
        <v>1778</v>
      </c>
      <c r="C379">
        <v>16.2</v>
      </c>
      <c r="D379">
        <f>VLOOKUP(A379,收盤價!A:C,3,0)</f>
        <v>22.15</v>
      </c>
      <c r="E379" s="187">
        <v>0.36728395061728392</v>
      </c>
      <c r="F379">
        <v>76.09</v>
      </c>
    </row>
    <row r="380" spans="1:6">
      <c r="A380">
        <v>3293</v>
      </c>
      <c r="B380" t="s">
        <v>1504</v>
      </c>
      <c r="C380">
        <v>61.2</v>
      </c>
      <c r="D380">
        <f>VLOOKUP(A380,收盤價!A:C,3,0)</f>
        <v>83.6</v>
      </c>
      <c r="E380" s="187">
        <v>0.3660130718954247</v>
      </c>
      <c r="F380">
        <v>76.03</v>
      </c>
    </row>
    <row r="381" spans="1:6">
      <c r="A381">
        <v>3090</v>
      </c>
      <c r="B381" t="s">
        <v>1100</v>
      </c>
      <c r="C381">
        <v>17.55</v>
      </c>
      <c r="D381">
        <f>VLOOKUP(A381,收盤價!A:C,3,0)</f>
        <v>23.95</v>
      </c>
      <c r="E381" s="187">
        <v>0.36467236467236458</v>
      </c>
      <c r="F381">
        <v>75.959999999999994</v>
      </c>
    </row>
    <row r="382" spans="1:6">
      <c r="A382">
        <v>2421</v>
      </c>
      <c r="B382" t="s">
        <v>878</v>
      </c>
      <c r="C382">
        <v>12.5</v>
      </c>
      <c r="D382">
        <f>VLOOKUP(A382,收盤價!A:C,3,0)</f>
        <v>17.05</v>
      </c>
      <c r="E382" s="187">
        <v>0.36400000000000005</v>
      </c>
      <c r="F382">
        <v>75.900000000000006</v>
      </c>
    </row>
    <row r="383" spans="1:6">
      <c r="A383">
        <v>2368</v>
      </c>
      <c r="B383" t="s">
        <v>843</v>
      </c>
      <c r="C383">
        <v>7.41</v>
      </c>
      <c r="D383">
        <f>VLOOKUP(A383,收盤價!A:C,3,0)</f>
        <v>10.1</v>
      </c>
      <c r="E383" s="187">
        <v>0.36302294197031032</v>
      </c>
      <c r="F383">
        <v>75.84</v>
      </c>
    </row>
    <row r="384" spans="1:6">
      <c r="A384">
        <v>3642</v>
      </c>
      <c r="B384" t="s">
        <v>1551</v>
      </c>
      <c r="C384">
        <v>17.100000000000001</v>
      </c>
      <c r="D384">
        <f>VLOOKUP(A384,收盤價!A:C,3,0)</f>
        <v>23.3</v>
      </c>
      <c r="E384" s="187">
        <v>0.3625730994152046</v>
      </c>
      <c r="F384">
        <v>75.77</v>
      </c>
    </row>
    <row r="385" spans="1:6">
      <c r="A385">
        <v>6015</v>
      </c>
      <c r="B385" t="s">
        <v>1704</v>
      </c>
      <c r="C385">
        <v>4.83</v>
      </c>
      <c r="D385">
        <f>VLOOKUP(A385,收盤價!A:C,3,0)</f>
        <v>6.58</v>
      </c>
      <c r="E385" s="187">
        <v>0.36231884057971014</v>
      </c>
      <c r="F385">
        <v>75.709999999999994</v>
      </c>
    </row>
    <row r="386" spans="1:6">
      <c r="A386">
        <v>3027</v>
      </c>
      <c r="B386" t="s">
        <v>1067</v>
      </c>
      <c r="C386">
        <v>8.9600000000000009</v>
      </c>
      <c r="D386">
        <f>VLOOKUP(A386,收盤價!A:C,3,0)</f>
        <v>12.2</v>
      </c>
      <c r="E386" s="187">
        <v>0.36160714285714263</v>
      </c>
      <c r="F386">
        <v>75.650000000000006</v>
      </c>
    </row>
    <row r="387" spans="1:6">
      <c r="A387">
        <v>3564</v>
      </c>
      <c r="B387" t="s">
        <v>1540</v>
      </c>
      <c r="C387">
        <v>50.4</v>
      </c>
      <c r="D387">
        <f>VLOOKUP(A387,收盤價!A:C,3,0)</f>
        <v>68.599999999999994</v>
      </c>
      <c r="E387" s="187">
        <v>0.36111111111111105</v>
      </c>
      <c r="F387">
        <v>75.58</v>
      </c>
    </row>
    <row r="388" spans="1:6">
      <c r="A388">
        <v>6431</v>
      </c>
      <c r="B388" t="s">
        <v>1326</v>
      </c>
      <c r="C388">
        <v>8.6</v>
      </c>
      <c r="D388">
        <f>VLOOKUP(A388,收盤價!A:C,3,0)</f>
        <v>11.7</v>
      </c>
      <c r="E388" s="187">
        <v>0.36046511627906974</v>
      </c>
      <c r="F388">
        <v>75.52</v>
      </c>
    </row>
    <row r="389" spans="1:6">
      <c r="A389">
        <v>2438</v>
      </c>
      <c r="B389" t="s">
        <v>892</v>
      </c>
      <c r="C389">
        <v>11.1</v>
      </c>
      <c r="D389">
        <f>VLOOKUP(A389,收盤價!A:C,3,0)</f>
        <v>15.1</v>
      </c>
      <c r="E389" s="187">
        <v>0.3603603603603604</v>
      </c>
      <c r="F389">
        <v>75.459999999999994</v>
      </c>
    </row>
    <row r="390" spans="1:6">
      <c r="A390">
        <v>2458</v>
      </c>
      <c r="B390" t="s">
        <v>908</v>
      </c>
      <c r="C390">
        <v>27.5</v>
      </c>
      <c r="D390">
        <f>VLOOKUP(A390,收盤價!A:C,3,0)</f>
        <v>37.4</v>
      </c>
      <c r="E390" s="187">
        <v>0.35999999999999993</v>
      </c>
      <c r="F390">
        <v>75.39</v>
      </c>
    </row>
    <row r="391" spans="1:6">
      <c r="A391">
        <v>6233</v>
      </c>
      <c r="B391" t="s">
        <v>1754</v>
      </c>
      <c r="C391">
        <v>9.4499999999999993</v>
      </c>
      <c r="D391">
        <f>VLOOKUP(A391,收盤價!A:C,3,0)</f>
        <v>12.85</v>
      </c>
      <c r="E391" s="187">
        <v>0.35978835978835988</v>
      </c>
      <c r="F391">
        <v>75.33</v>
      </c>
    </row>
    <row r="392" spans="1:6">
      <c r="A392">
        <v>8240</v>
      </c>
      <c r="B392" t="s">
        <v>1815</v>
      </c>
      <c r="C392">
        <v>14.75</v>
      </c>
      <c r="D392">
        <f>VLOOKUP(A392,收盤價!A:C,3,0)</f>
        <v>20.05</v>
      </c>
      <c r="E392" s="187">
        <v>0.35932203389830514</v>
      </c>
      <c r="F392">
        <v>75.27</v>
      </c>
    </row>
    <row r="393" spans="1:6">
      <c r="A393">
        <v>2723</v>
      </c>
      <c r="B393" t="s">
        <v>996</v>
      </c>
      <c r="C393">
        <v>161.5</v>
      </c>
      <c r="D393">
        <f>VLOOKUP(A393,收盤價!A:C,3,0)</f>
        <v>219.5</v>
      </c>
      <c r="E393" s="187">
        <v>0.3591331269349845</v>
      </c>
      <c r="F393">
        <v>75.209999999999994</v>
      </c>
    </row>
    <row r="394" spans="1:6">
      <c r="A394">
        <v>1530</v>
      </c>
      <c r="B394" t="s">
        <v>666</v>
      </c>
      <c r="C394">
        <v>25.5</v>
      </c>
      <c r="D394">
        <f>VLOOKUP(A394,收盤價!A:C,3,0)</f>
        <v>34.65</v>
      </c>
      <c r="E394" s="187">
        <v>0.35882352941176465</v>
      </c>
      <c r="F394">
        <v>75.14</v>
      </c>
    </row>
    <row r="395" spans="1:6">
      <c r="A395">
        <v>3483</v>
      </c>
      <c r="B395" t="s">
        <v>331</v>
      </c>
      <c r="C395">
        <v>8.8000000000000007</v>
      </c>
      <c r="D395">
        <f>VLOOKUP(A395,收盤價!A:C,3,0)</f>
        <v>11.95</v>
      </c>
      <c r="E395" s="187">
        <v>0.35795454545454525</v>
      </c>
      <c r="F395">
        <v>75.08</v>
      </c>
    </row>
    <row r="396" spans="1:6">
      <c r="A396">
        <v>4419</v>
      </c>
      <c r="B396" t="s">
        <v>1595</v>
      </c>
      <c r="C396">
        <v>4.92</v>
      </c>
      <c r="D396">
        <f>VLOOKUP(A396,收盤價!A:C,3,0)</f>
        <v>6.68</v>
      </c>
      <c r="E396" s="187">
        <v>0.35772357723577231</v>
      </c>
      <c r="F396">
        <v>75.02</v>
      </c>
    </row>
    <row r="397" spans="1:6">
      <c r="A397">
        <v>5498</v>
      </c>
      <c r="B397" t="s">
        <v>1688</v>
      </c>
      <c r="C397">
        <v>6.6</v>
      </c>
      <c r="D397">
        <f>VLOOKUP(A397,收盤價!A:C,3,0)</f>
        <v>8.9600000000000009</v>
      </c>
      <c r="E397" s="187">
        <v>0.35757575757575777</v>
      </c>
      <c r="F397">
        <v>74.95</v>
      </c>
    </row>
    <row r="398" spans="1:6">
      <c r="A398">
        <v>1786</v>
      </c>
      <c r="B398" t="s">
        <v>733</v>
      </c>
      <c r="C398">
        <v>45.45</v>
      </c>
      <c r="D398">
        <f>VLOOKUP(A398,收盤價!A:C,3,0)</f>
        <v>61.7</v>
      </c>
      <c r="E398" s="187">
        <v>0.3575357535753575</v>
      </c>
      <c r="F398">
        <v>74.89</v>
      </c>
    </row>
    <row r="399" spans="1:6">
      <c r="A399">
        <v>6130</v>
      </c>
      <c r="B399" t="s">
        <v>456</v>
      </c>
      <c r="C399">
        <v>23.65</v>
      </c>
      <c r="D399">
        <f>VLOOKUP(A399,收盤價!A:C,3,0)</f>
        <v>32.1</v>
      </c>
      <c r="E399" s="187">
        <v>0.35729386892177606</v>
      </c>
      <c r="F399">
        <v>74.83</v>
      </c>
    </row>
    <row r="400" spans="1:6">
      <c r="A400">
        <v>4747</v>
      </c>
      <c r="B400" t="s">
        <v>1621</v>
      </c>
      <c r="C400">
        <v>33.450000000000003</v>
      </c>
      <c r="D400">
        <f>VLOOKUP(A400,收盤價!A:C,3,0)</f>
        <v>45.4</v>
      </c>
      <c r="E400" s="187">
        <v>0.35724962630792212</v>
      </c>
      <c r="F400">
        <v>74.760000000000005</v>
      </c>
    </row>
    <row r="401" spans="1:6">
      <c r="A401">
        <v>3218</v>
      </c>
      <c r="B401" t="s">
        <v>300</v>
      </c>
      <c r="C401">
        <v>19.350000000000001</v>
      </c>
      <c r="D401">
        <f>VLOOKUP(A401,收盤價!A:C,3,0)</f>
        <v>26.25</v>
      </c>
      <c r="E401" s="187">
        <v>0.35658914728682162</v>
      </c>
      <c r="F401">
        <v>74.7</v>
      </c>
    </row>
    <row r="402" spans="1:6">
      <c r="A402">
        <v>3527</v>
      </c>
      <c r="B402" t="s">
        <v>339</v>
      </c>
      <c r="C402">
        <v>32.450000000000003</v>
      </c>
      <c r="D402">
        <f>VLOOKUP(A402,收盤價!A:C,3,0)</f>
        <v>44</v>
      </c>
      <c r="E402" s="187">
        <v>0.35593220338983039</v>
      </c>
      <c r="F402">
        <v>74.64</v>
      </c>
    </row>
    <row r="403" spans="1:6">
      <c r="A403">
        <v>3062</v>
      </c>
      <c r="B403" t="s">
        <v>1099</v>
      </c>
      <c r="C403">
        <v>12.6</v>
      </c>
      <c r="D403">
        <f>VLOOKUP(A403,收盤價!A:C,3,0)</f>
        <v>17.05</v>
      </c>
      <c r="E403" s="187">
        <v>0.35317460317460325</v>
      </c>
      <c r="F403">
        <v>74.569999999999993</v>
      </c>
    </row>
    <row r="404" spans="1:6">
      <c r="A404">
        <v>8410</v>
      </c>
      <c r="B404" t="s">
        <v>515</v>
      </c>
      <c r="C404">
        <v>15.75</v>
      </c>
      <c r="D404">
        <f>VLOOKUP(A404,收盤價!A:C,3,0)</f>
        <v>21.3</v>
      </c>
      <c r="E404" s="187">
        <v>0.35238095238095241</v>
      </c>
      <c r="F404">
        <v>74.510000000000005</v>
      </c>
    </row>
    <row r="405" spans="1:6">
      <c r="A405">
        <v>8011</v>
      </c>
      <c r="B405" t="s">
        <v>1337</v>
      </c>
      <c r="C405">
        <v>16.05</v>
      </c>
      <c r="D405">
        <f>VLOOKUP(A405,收盤價!A:C,3,0)</f>
        <v>21.7</v>
      </c>
      <c r="E405" s="187">
        <v>0.35202492211837993</v>
      </c>
      <c r="F405">
        <v>74.45</v>
      </c>
    </row>
    <row r="406" spans="1:6">
      <c r="A406">
        <v>3662</v>
      </c>
      <c r="B406" t="s">
        <v>1553</v>
      </c>
      <c r="C406">
        <v>72</v>
      </c>
      <c r="D406">
        <f>VLOOKUP(A406,收盤價!A:C,3,0)</f>
        <v>97.3</v>
      </c>
      <c r="E406" s="187">
        <v>0.35138888888888886</v>
      </c>
      <c r="F406">
        <v>74.38</v>
      </c>
    </row>
    <row r="407" spans="1:6">
      <c r="A407">
        <v>1474</v>
      </c>
      <c r="B407" t="s">
        <v>643</v>
      </c>
      <c r="C407">
        <v>8.14</v>
      </c>
      <c r="D407">
        <f>VLOOKUP(A407,收盤價!A:C,3,0)</f>
        <v>11</v>
      </c>
      <c r="E407" s="187">
        <v>0.35135135135135126</v>
      </c>
      <c r="F407">
        <v>74.319999999999993</v>
      </c>
    </row>
    <row r="408" spans="1:6">
      <c r="A408">
        <v>6168</v>
      </c>
      <c r="B408" t="s">
        <v>1281</v>
      </c>
      <c r="C408">
        <v>9.2200000000000006</v>
      </c>
      <c r="D408">
        <f>VLOOKUP(A408,收盤價!A:C,3,0)</f>
        <v>12.45</v>
      </c>
      <c r="E408" s="187">
        <v>0.3503253796095443</v>
      </c>
      <c r="F408">
        <v>74.260000000000005</v>
      </c>
    </row>
    <row r="409" spans="1:6">
      <c r="A409">
        <v>1730</v>
      </c>
      <c r="B409" t="s">
        <v>722</v>
      </c>
      <c r="C409">
        <v>26.7</v>
      </c>
      <c r="D409">
        <f>VLOOKUP(A409,收盤價!A:C,3,0)</f>
        <v>36.049999999999997</v>
      </c>
      <c r="E409" s="187">
        <v>0.35018726591760291</v>
      </c>
      <c r="F409">
        <v>74.2</v>
      </c>
    </row>
    <row r="410" spans="1:6">
      <c r="A410">
        <v>5450</v>
      </c>
      <c r="B410" t="s">
        <v>433</v>
      </c>
      <c r="C410">
        <v>6</v>
      </c>
      <c r="D410">
        <f>VLOOKUP(A410,收盤價!A:C,3,0)</f>
        <v>8.1</v>
      </c>
      <c r="E410" s="187">
        <v>0.34999999999999992</v>
      </c>
      <c r="F410">
        <v>74.13</v>
      </c>
    </row>
    <row r="411" spans="1:6">
      <c r="A411">
        <v>1418</v>
      </c>
      <c r="B411" t="s">
        <v>604</v>
      </c>
      <c r="C411">
        <v>3.63</v>
      </c>
      <c r="D411">
        <f>VLOOKUP(A411,收盤價!A:C,3,0)</f>
        <v>4.9000000000000004</v>
      </c>
      <c r="E411" s="187">
        <v>0.34986225895316819</v>
      </c>
      <c r="F411">
        <v>74.069999999999993</v>
      </c>
    </row>
    <row r="412" spans="1:6">
      <c r="A412">
        <v>9934</v>
      </c>
      <c r="B412" t="s">
        <v>1423</v>
      </c>
      <c r="C412">
        <v>10.9</v>
      </c>
      <c r="D412">
        <f>VLOOKUP(A412,收盤價!A:C,3,0)</f>
        <v>14.7</v>
      </c>
      <c r="E412" s="187">
        <v>0.34862385321100908</v>
      </c>
      <c r="F412">
        <v>74.010000000000005</v>
      </c>
    </row>
    <row r="413" spans="1:6">
      <c r="A413">
        <v>4114</v>
      </c>
      <c r="B413" t="s">
        <v>1568</v>
      </c>
      <c r="C413">
        <v>26</v>
      </c>
      <c r="D413">
        <f>VLOOKUP(A413,收盤價!A:C,3,0)</f>
        <v>35.049999999999997</v>
      </c>
      <c r="E413" s="187">
        <v>0.34807692307692295</v>
      </c>
      <c r="F413">
        <v>73.94</v>
      </c>
    </row>
    <row r="414" spans="1:6">
      <c r="A414">
        <v>1597</v>
      </c>
      <c r="B414" t="s">
        <v>268</v>
      </c>
      <c r="C414">
        <v>21.9</v>
      </c>
      <c r="D414">
        <f>VLOOKUP(A414,收盤價!A:C,3,0)</f>
        <v>29.5</v>
      </c>
      <c r="E414" s="187">
        <v>0.34703196347031973</v>
      </c>
      <c r="F414">
        <v>73.88</v>
      </c>
    </row>
    <row r="415" spans="1:6">
      <c r="A415">
        <v>1721</v>
      </c>
      <c r="B415" t="s">
        <v>714</v>
      </c>
      <c r="C415">
        <v>9.2100000000000009</v>
      </c>
      <c r="D415">
        <f>VLOOKUP(A415,收盤價!A:C,3,0)</f>
        <v>12.4</v>
      </c>
      <c r="E415" s="187">
        <v>0.34636264929424532</v>
      </c>
      <c r="F415">
        <v>73.819999999999993</v>
      </c>
    </row>
    <row r="416" spans="1:6">
      <c r="A416">
        <v>8086</v>
      </c>
      <c r="B416" t="s">
        <v>1799</v>
      </c>
      <c r="C416">
        <v>62.5</v>
      </c>
      <c r="D416">
        <f>VLOOKUP(A416,收盤價!A:C,3,0)</f>
        <v>84.1</v>
      </c>
      <c r="E416" s="187">
        <v>0.34559999999999991</v>
      </c>
      <c r="F416">
        <v>73.75</v>
      </c>
    </row>
    <row r="417" spans="1:6">
      <c r="A417">
        <v>3338</v>
      </c>
      <c r="B417" t="s">
        <v>1118</v>
      </c>
      <c r="C417">
        <v>16.8</v>
      </c>
      <c r="D417">
        <f>VLOOKUP(A417,收盤價!A:C,3,0)</f>
        <v>22.6</v>
      </c>
      <c r="E417" s="187">
        <v>0.34523809523809529</v>
      </c>
      <c r="F417">
        <v>73.69</v>
      </c>
    </row>
    <row r="418" spans="1:6">
      <c r="A418">
        <v>5351</v>
      </c>
      <c r="B418" t="s">
        <v>1665</v>
      </c>
      <c r="C418">
        <v>9.6300000000000008</v>
      </c>
      <c r="D418">
        <f>VLOOKUP(A418,收盤價!A:C,3,0)</f>
        <v>12.95</v>
      </c>
      <c r="E418" s="187">
        <v>0.34475597092419502</v>
      </c>
      <c r="F418">
        <v>73.63</v>
      </c>
    </row>
    <row r="419" spans="1:6">
      <c r="A419">
        <v>3313</v>
      </c>
      <c r="B419" t="s">
        <v>318</v>
      </c>
      <c r="C419">
        <v>5.72</v>
      </c>
      <c r="D419">
        <f>VLOOKUP(A419,收盤價!A:C,3,0)</f>
        <v>7.69</v>
      </c>
      <c r="E419" s="187">
        <v>0.34440559440559454</v>
      </c>
      <c r="F419">
        <v>73.56</v>
      </c>
    </row>
    <row r="420" spans="1:6">
      <c r="A420">
        <v>3706</v>
      </c>
      <c r="B420" t="s">
        <v>1180</v>
      </c>
      <c r="C420">
        <v>18.75</v>
      </c>
      <c r="D420">
        <f>VLOOKUP(A420,收盤價!A:C,3,0)</f>
        <v>25.2</v>
      </c>
      <c r="E420" s="187">
        <v>0.34399999999999997</v>
      </c>
      <c r="F420">
        <v>73.5</v>
      </c>
    </row>
    <row r="421" spans="1:6">
      <c r="A421">
        <v>3679</v>
      </c>
      <c r="B421" t="s">
        <v>1170</v>
      </c>
      <c r="C421">
        <v>33.450000000000003</v>
      </c>
      <c r="D421">
        <f>VLOOKUP(A421,收盤價!A:C,3,0)</f>
        <v>44.95</v>
      </c>
      <c r="E421" s="187">
        <v>0.34379671150971597</v>
      </c>
      <c r="F421">
        <v>73.44</v>
      </c>
    </row>
    <row r="422" spans="1:6">
      <c r="A422">
        <v>1736</v>
      </c>
      <c r="B422" t="s">
        <v>728</v>
      </c>
      <c r="C422">
        <v>40.5</v>
      </c>
      <c r="D422">
        <f>VLOOKUP(A422,收盤價!A:C,3,0)</f>
        <v>54.4</v>
      </c>
      <c r="E422" s="187">
        <v>0.34320987654320984</v>
      </c>
      <c r="F422">
        <v>73.38</v>
      </c>
    </row>
    <row r="423" spans="1:6">
      <c r="A423">
        <v>3023</v>
      </c>
      <c r="B423" t="s">
        <v>1063</v>
      </c>
      <c r="C423">
        <v>46.5</v>
      </c>
      <c r="D423">
        <f>VLOOKUP(A423,收盤價!A:C,3,0)</f>
        <v>62.4</v>
      </c>
      <c r="E423" s="187">
        <v>0.34193548387096773</v>
      </c>
      <c r="F423">
        <v>73.31</v>
      </c>
    </row>
    <row r="424" spans="1:6">
      <c r="A424">
        <v>6259</v>
      </c>
      <c r="B424" t="s">
        <v>487</v>
      </c>
      <c r="C424">
        <v>6.09</v>
      </c>
      <c r="D424">
        <f>VLOOKUP(A424,收盤價!A:C,3,0)</f>
        <v>8.17</v>
      </c>
      <c r="E424" s="187">
        <v>0.34154351395730709</v>
      </c>
      <c r="F424">
        <v>73.25</v>
      </c>
    </row>
    <row r="425" spans="1:6">
      <c r="A425">
        <v>4960</v>
      </c>
      <c r="B425" t="s">
        <v>1221</v>
      </c>
      <c r="C425">
        <v>16.25</v>
      </c>
      <c r="D425">
        <f>VLOOKUP(A425,收盤價!A:C,3,0)</f>
        <v>21.8</v>
      </c>
      <c r="E425" s="187">
        <v>0.34153846153846157</v>
      </c>
      <c r="F425">
        <v>73.19</v>
      </c>
    </row>
    <row r="426" spans="1:6">
      <c r="A426">
        <v>5015</v>
      </c>
      <c r="B426" t="s">
        <v>404</v>
      </c>
      <c r="C426">
        <v>12.9</v>
      </c>
      <c r="D426">
        <f>VLOOKUP(A426,收盤價!A:C,3,0)</f>
        <v>17.3</v>
      </c>
      <c r="E426" s="187">
        <v>0.34108527131782945</v>
      </c>
      <c r="F426">
        <v>73.12</v>
      </c>
    </row>
    <row r="427" spans="1:6">
      <c r="A427">
        <v>6245</v>
      </c>
      <c r="B427" t="s">
        <v>1758</v>
      </c>
      <c r="C427">
        <v>32</v>
      </c>
      <c r="D427">
        <f>VLOOKUP(A427,收盤價!A:C,3,0)</f>
        <v>42.9</v>
      </c>
      <c r="E427" s="187">
        <v>0.34062499999999996</v>
      </c>
      <c r="F427">
        <v>73.06</v>
      </c>
    </row>
    <row r="428" spans="1:6">
      <c r="A428">
        <v>8210</v>
      </c>
      <c r="B428" t="s">
        <v>1356</v>
      </c>
      <c r="C428">
        <v>27.45</v>
      </c>
      <c r="D428">
        <f>VLOOKUP(A428,收盤價!A:C,3,0)</f>
        <v>36.799999999999997</v>
      </c>
      <c r="E428" s="187">
        <v>0.3406193078324225</v>
      </c>
      <c r="F428">
        <v>73</v>
      </c>
    </row>
    <row r="429" spans="1:6">
      <c r="A429">
        <v>6125</v>
      </c>
      <c r="B429" t="s">
        <v>455</v>
      </c>
      <c r="C429">
        <v>9.25</v>
      </c>
      <c r="D429">
        <f>VLOOKUP(A429,收盤價!A:C,3,0)</f>
        <v>12.4</v>
      </c>
      <c r="E429" s="187">
        <v>0.34054054054054056</v>
      </c>
      <c r="F429">
        <v>72.930000000000007</v>
      </c>
    </row>
    <row r="430" spans="1:6">
      <c r="A430">
        <v>6605</v>
      </c>
      <c r="B430" t="s">
        <v>1335</v>
      </c>
      <c r="C430">
        <v>88.4</v>
      </c>
      <c r="D430">
        <f>VLOOKUP(A430,收盤價!A:C,3,0)</f>
        <v>118.5</v>
      </c>
      <c r="E430" s="187">
        <v>0.34049773755656099</v>
      </c>
      <c r="F430">
        <v>72.87</v>
      </c>
    </row>
    <row r="431" spans="1:6">
      <c r="A431">
        <v>2419</v>
      </c>
      <c r="B431" t="s">
        <v>876</v>
      </c>
      <c r="C431">
        <v>10.35</v>
      </c>
      <c r="D431">
        <f>VLOOKUP(A431,收盤價!A:C,3,0)</f>
        <v>13.85</v>
      </c>
      <c r="E431" s="187">
        <v>0.33816425120772947</v>
      </c>
      <c r="F431">
        <v>72.81</v>
      </c>
    </row>
    <row r="432" spans="1:6">
      <c r="A432">
        <v>1724</v>
      </c>
      <c r="B432" t="s">
        <v>717</v>
      </c>
      <c r="C432">
        <v>11.25</v>
      </c>
      <c r="D432">
        <f>VLOOKUP(A432,收盤價!A:C,3,0)</f>
        <v>15.05</v>
      </c>
      <c r="E432" s="187">
        <v>0.33777777777777784</v>
      </c>
      <c r="F432">
        <v>72.739999999999995</v>
      </c>
    </row>
    <row r="433" spans="1:6">
      <c r="A433">
        <v>2483</v>
      </c>
      <c r="B433" t="s">
        <v>927</v>
      </c>
      <c r="C433">
        <v>15.4</v>
      </c>
      <c r="D433">
        <f>VLOOKUP(A433,收盤價!A:C,3,0)</f>
        <v>20.6</v>
      </c>
      <c r="E433" s="187">
        <v>0.33766233766233772</v>
      </c>
      <c r="F433">
        <v>72.680000000000007</v>
      </c>
    </row>
    <row r="434" spans="1:6">
      <c r="A434">
        <v>3209</v>
      </c>
      <c r="B434" t="s">
        <v>1107</v>
      </c>
      <c r="C434">
        <v>18.7</v>
      </c>
      <c r="D434">
        <f>VLOOKUP(A434,收盤價!A:C,3,0)</f>
        <v>25</v>
      </c>
      <c r="E434" s="187">
        <v>0.3368983957219252</v>
      </c>
      <c r="F434">
        <v>72.62</v>
      </c>
    </row>
    <row r="435" spans="1:6">
      <c r="A435">
        <v>3441</v>
      </c>
      <c r="B435" t="s">
        <v>1519</v>
      </c>
      <c r="C435">
        <v>9.2799999999999994</v>
      </c>
      <c r="D435">
        <f>VLOOKUP(A435,收盤價!A:C,3,0)</f>
        <v>12.4</v>
      </c>
      <c r="E435" s="187">
        <v>0.33620689655172425</v>
      </c>
      <c r="F435">
        <v>72.56</v>
      </c>
    </row>
    <row r="436" spans="1:6">
      <c r="A436">
        <v>3521</v>
      </c>
      <c r="B436" t="s">
        <v>1530</v>
      </c>
      <c r="C436">
        <v>11.6</v>
      </c>
      <c r="D436">
        <f>VLOOKUP(A436,收盤價!A:C,3,0)</f>
        <v>15.5</v>
      </c>
      <c r="E436" s="187">
        <v>0.3362068965517242</v>
      </c>
      <c r="F436">
        <v>72.489999999999995</v>
      </c>
    </row>
    <row r="437" spans="1:6">
      <c r="A437">
        <v>4912</v>
      </c>
      <c r="B437" t="s">
        <v>1208</v>
      </c>
      <c r="C437">
        <v>61</v>
      </c>
      <c r="D437">
        <f>VLOOKUP(A437,收盤價!A:C,3,0)</f>
        <v>81.5</v>
      </c>
      <c r="E437" s="187">
        <v>0.33606557377049179</v>
      </c>
      <c r="F437">
        <v>72.430000000000007</v>
      </c>
    </row>
    <row r="438" spans="1:6">
      <c r="A438">
        <v>3419</v>
      </c>
      <c r="B438" t="s">
        <v>1126</v>
      </c>
      <c r="C438">
        <v>10.45</v>
      </c>
      <c r="D438">
        <f>VLOOKUP(A438,收盤價!A:C,3,0)</f>
        <v>13.95</v>
      </c>
      <c r="E438" s="187">
        <v>0.3349282296650718</v>
      </c>
      <c r="F438">
        <v>72.37</v>
      </c>
    </row>
    <row r="439" spans="1:6">
      <c r="A439">
        <v>8905</v>
      </c>
      <c r="B439" t="s">
        <v>1837</v>
      </c>
      <c r="C439">
        <v>11.1</v>
      </c>
      <c r="D439">
        <f>VLOOKUP(A439,收盤價!A:C,3,0)</f>
        <v>14.8</v>
      </c>
      <c r="E439" s="187">
        <v>0.33333333333333343</v>
      </c>
      <c r="F439">
        <v>72.3</v>
      </c>
    </row>
    <row r="440" spans="1:6">
      <c r="A440">
        <v>1472</v>
      </c>
      <c r="B440" t="s">
        <v>641</v>
      </c>
      <c r="C440">
        <v>11.7</v>
      </c>
      <c r="D440">
        <f>VLOOKUP(A440,收盤價!A:C,3,0)</f>
        <v>15.6</v>
      </c>
      <c r="E440" s="187">
        <v>0.33333333333333337</v>
      </c>
      <c r="F440">
        <v>72.239999999999995</v>
      </c>
    </row>
    <row r="441" spans="1:6">
      <c r="A441">
        <v>3088</v>
      </c>
      <c r="B441" t="s">
        <v>287</v>
      </c>
      <c r="C441">
        <v>51.6</v>
      </c>
      <c r="D441">
        <f>VLOOKUP(A441,收盤價!A:C,3,0)</f>
        <v>68.7</v>
      </c>
      <c r="E441" s="187">
        <v>0.33139534883720934</v>
      </c>
      <c r="F441">
        <v>72.180000000000007</v>
      </c>
    </row>
    <row r="442" spans="1:6">
      <c r="A442">
        <v>3682</v>
      </c>
      <c r="B442" t="s">
        <v>1171</v>
      </c>
      <c r="C442">
        <v>8.15</v>
      </c>
      <c r="D442">
        <f>VLOOKUP(A442,收盤價!A:C,3,0)</f>
        <v>10.85</v>
      </c>
      <c r="E442" s="187">
        <v>0.33128834355828213</v>
      </c>
      <c r="F442">
        <v>72.11</v>
      </c>
    </row>
    <row r="443" spans="1:6">
      <c r="A443">
        <v>8107</v>
      </c>
      <c r="B443" t="s">
        <v>512</v>
      </c>
      <c r="C443">
        <v>14.35</v>
      </c>
      <c r="D443">
        <f>VLOOKUP(A443,收盤價!A:C,3,0)</f>
        <v>19.100000000000001</v>
      </c>
      <c r="E443" s="187">
        <v>0.33101045296167259</v>
      </c>
      <c r="F443">
        <v>72.05</v>
      </c>
    </row>
    <row r="444" spans="1:6">
      <c r="A444">
        <v>6263</v>
      </c>
      <c r="B444" t="s">
        <v>1760</v>
      </c>
      <c r="C444">
        <v>36.799999999999997</v>
      </c>
      <c r="D444">
        <f>VLOOKUP(A444,收盤價!A:C,3,0)</f>
        <v>48.95</v>
      </c>
      <c r="E444" s="187">
        <v>0.33016304347826103</v>
      </c>
      <c r="F444">
        <v>71.989999999999995</v>
      </c>
    </row>
    <row r="445" spans="1:6">
      <c r="A445">
        <v>3540</v>
      </c>
      <c r="B445" t="s">
        <v>1535</v>
      </c>
      <c r="C445">
        <v>9.4</v>
      </c>
      <c r="D445">
        <f>VLOOKUP(A445,收盤價!A:C,3,0)</f>
        <v>12.5</v>
      </c>
      <c r="E445" s="187">
        <v>0.32978723404255317</v>
      </c>
      <c r="F445">
        <v>71.92</v>
      </c>
    </row>
    <row r="446" spans="1:6">
      <c r="A446">
        <v>6021</v>
      </c>
      <c r="B446" t="s">
        <v>452</v>
      </c>
      <c r="C446">
        <v>8.4600000000000009</v>
      </c>
      <c r="D446">
        <f>VLOOKUP(A446,收盤價!A:C,3,0)</f>
        <v>11.25</v>
      </c>
      <c r="E446" s="187">
        <v>0.32978723404255306</v>
      </c>
      <c r="F446">
        <v>71.86</v>
      </c>
    </row>
    <row r="447" spans="1:6">
      <c r="A447">
        <v>3372</v>
      </c>
      <c r="B447" t="s">
        <v>323</v>
      </c>
      <c r="C447">
        <v>5.86</v>
      </c>
      <c r="D447">
        <f>VLOOKUP(A447,收盤價!A:C,3,0)</f>
        <v>7.79</v>
      </c>
      <c r="E447" s="187">
        <v>0.32935153583617743</v>
      </c>
      <c r="F447">
        <v>71.8</v>
      </c>
    </row>
    <row r="448" spans="1:6">
      <c r="A448">
        <v>3684</v>
      </c>
      <c r="B448" t="s">
        <v>1558</v>
      </c>
      <c r="C448">
        <v>48.3</v>
      </c>
      <c r="D448">
        <f>VLOOKUP(A448,收盤價!A:C,3,0)</f>
        <v>64.2</v>
      </c>
      <c r="E448" s="187">
        <v>0.32919254658385105</v>
      </c>
      <c r="F448">
        <v>71.739999999999995</v>
      </c>
    </row>
    <row r="449" spans="1:6">
      <c r="A449">
        <v>8131</v>
      </c>
      <c r="B449" t="s">
        <v>1352</v>
      </c>
      <c r="C449">
        <v>16.100000000000001</v>
      </c>
      <c r="D449">
        <f>VLOOKUP(A449,收盤價!A:C,3,0)</f>
        <v>21.4</v>
      </c>
      <c r="E449" s="187">
        <v>0.32919254658385072</v>
      </c>
      <c r="F449">
        <v>71.67</v>
      </c>
    </row>
    <row r="450" spans="1:6">
      <c r="A450">
        <v>6182</v>
      </c>
      <c r="B450" t="s">
        <v>466</v>
      </c>
      <c r="C450">
        <v>8.09</v>
      </c>
      <c r="D450">
        <f>VLOOKUP(A450,收盤價!A:C,3,0)</f>
        <v>10.75</v>
      </c>
      <c r="E450" s="187">
        <v>0.32880098887515452</v>
      </c>
      <c r="F450">
        <v>71.61</v>
      </c>
    </row>
    <row r="451" spans="1:6">
      <c r="A451">
        <v>1529</v>
      </c>
      <c r="B451" t="s">
        <v>665</v>
      </c>
      <c r="C451">
        <v>4.1399999999999997</v>
      </c>
      <c r="D451">
        <f>VLOOKUP(A451,收盤價!A:C,3,0)</f>
        <v>5.5</v>
      </c>
      <c r="E451" s="187">
        <v>0.32850241545893732</v>
      </c>
      <c r="F451">
        <v>71.55</v>
      </c>
    </row>
    <row r="452" spans="1:6">
      <c r="A452">
        <v>4733</v>
      </c>
      <c r="B452" t="s">
        <v>1202</v>
      </c>
      <c r="C452">
        <v>162</v>
      </c>
      <c r="D452">
        <f>VLOOKUP(A452,收盤價!A:C,3,0)</f>
        <v>215</v>
      </c>
      <c r="E452" s="187">
        <v>0.3271604938271605</v>
      </c>
      <c r="F452">
        <v>71.48</v>
      </c>
    </row>
    <row r="453" spans="1:6">
      <c r="A453">
        <v>3632</v>
      </c>
      <c r="B453" t="s">
        <v>1550</v>
      </c>
      <c r="C453">
        <v>20.2</v>
      </c>
      <c r="D453">
        <f>VLOOKUP(A453,收盤價!A:C,3,0)</f>
        <v>26.8</v>
      </c>
      <c r="E453" s="187">
        <v>0.3267326732673268</v>
      </c>
      <c r="F453">
        <v>71.42</v>
      </c>
    </row>
    <row r="454" spans="1:6">
      <c r="A454">
        <v>2399</v>
      </c>
      <c r="B454" t="s">
        <v>863</v>
      </c>
      <c r="C454">
        <v>5.36</v>
      </c>
      <c r="D454">
        <f>VLOOKUP(A454,收盤價!A:C,3,0)</f>
        <v>7.11</v>
      </c>
      <c r="E454" s="187">
        <v>0.32649253731343281</v>
      </c>
      <c r="F454">
        <v>71.36</v>
      </c>
    </row>
    <row r="455" spans="1:6">
      <c r="A455">
        <v>3573</v>
      </c>
      <c r="B455" t="s">
        <v>1150</v>
      </c>
      <c r="C455">
        <v>13.5</v>
      </c>
      <c r="D455">
        <f>VLOOKUP(A455,收盤價!A:C,3,0)</f>
        <v>17.899999999999999</v>
      </c>
      <c r="E455" s="187">
        <v>0.32592592592592584</v>
      </c>
      <c r="F455">
        <v>71.290000000000006</v>
      </c>
    </row>
    <row r="456" spans="1:6">
      <c r="A456">
        <v>3057</v>
      </c>
      <c r="B456" t="s">
        <v>1095</v>
      </c>
      <c r="C456">
        <v>12.9</v>
      </c>
      <c r="D456">
        <f>VLOOKUP(A456,收盤價!A:C,3,0)</f>
        <v>17.100000000000001</v>
      </c>
      <c r="E456" s="187">
        <v>0.32558139534883729</v>
      </c>
      <c r="F456">
        <v>71.23</v>
      </c>
    </row>
    <row r="457" spans="1:6">
      <c r="A457">
        <v>4119</v>
      </c>
      <c r="B457" t="s">
        <v>1184</v>
      </c>
      <c r="C457">
        <v>69.900000000000006</v>
      </c>
      <c r="D457">
        <f>VLOOKUP(A457,收盤價!A:C,3,0)</f>
        <v>92.6</v>
      </c>
      <c r="E457" s="187">
        <v>0.32474964234620868</v>
      </c>
      <c r="F457">
        <v>71.17</v>
      </c>
    </row>
    <row r="458" spans="1:6">
      <c r="A458">
        <v>3311</v>
      </c>
      <c r="B458" t="s">
        <v>1115</v>
      </c>
      <c r="C458">
        <v>13.55</v>
      </c>
      <c r="D458">
        <f>VLOOKUP(A458,收盤價!A:C,3,0)</f>
        <v>17.95</v>
      </c>
      <c r="E458" s="187">
        <v>0.3247232472324722</v>
      </c>
      <c r="F458">
        <v>71.099999999999994</v>
      </c>
    </row>
    <row r="459" spans="1:6">
      <c r="A459">
        <v>9928</v>
      </c>
      <c r="B459" t="s">
        <v>1418</v>
      </c>
      <c r="C459">
        <v>8.42</v>
      </c>
      <c r="D459">
        <f>VLOOKUP(A459,收盤價!A:C,3,0)</f>
        <v>11.15</v>
      </c>
      <c r="E459" s="187">
        <v>0.32422802850356303</v>
      </c>
      <c r="F459">
        <v>71.040000000000006</v>
      </c>
    </row>
    <row r="460" spans="1:6">
      <c r="A460">
        <v>1460</v>
      </c>
      <c r="B460" t="s">
        <v>631</v>
      </c>
      <c r="C460">
        <v>11.9</v>
      </c>
      <c r="D460">
        <f>VLOOKUP(A460,收盤價!A:C,3,0)</f>
        <v>15.75</v>
      </c>
      <c r="E460" s="187">
        <v>0.32352941176470584</v>
      </c>
      <c r="F460">
        <v>70.98</v>
      </c>
    </row>
    <row r="461" spans="1:6">
      <c r="A461">
        <v>1725</v>
      </c>
      <c r="B461" t="s">
        <v>718</v>
      </c>
      <c r="C461">
        <v>11</v>
      </c>
      <c r="D461">
        <f>VLOOKUP(A461,收盤價!A:C,3,0)</f>
        <v>14.55</v>
      </c>
      <c r="E461" s="187">
        <v>0.32272727272727281</v>
      </c>
      <c r="F461">
        <v>70.91</v>
      </c>
    </row>
    <row r="462" spans="1:6">
      <c r="A462">
        <v>3152</v>
      </c>
      <c r="B462" t="s">
        <v>1482</v>
      </c>
      <c r="C462">
        <v>172</v>
      </c>
      <c r="D462">
        <f>VLOOKUP(A462,收盤價!A:C,3,0)</f>
        <v>227.5</v>
      </c>
      <c r="E462" s="187">
        <v>0.32267441860465118</v>
      </c>
      <c r="F462">
        <v>70.849999999999994</v>
      </c>
    </row>
    <row r="463" spans="1:6">
      <c r="A463">
        <v>2367</v>
      </c>
      <c r="B463" t="s">
        <v>842</v>
      </c>
      <c r="C463">
        <v>9.15</v>
      </c>
      <c r="D463">
        <f>VLOOKUP(A463,收盤價!A:C,3,0)</f>
        <v>12.1</v>
      </c>
      <c r="E463" s="187">
        <v>0.32240437158469937</v>
      </c>
      <c r="F463">
        <v>70.790000000000006</v>
      </c>
    </row>
    <row r="464" spans="1:6">
      <c r="A464">
        <v>3289</v>
      </c>
      <c r="B464" t="s">
        <v>1502</v>
      </c>
      <c r="C464">
        <v>67.7</v>
      </c>
      <c r="D464">
        <f>VLOOKUP(A464,收盤價!A:C,3,0)</f>
        <v>89.5</v>
      </c>
      <c r="E464" s="187">
        <v>0.32200886262924661</v>
      </c>
      <c r="F464">
        <v>70.73</v>
      </c>
    </row>
    <row r="465" spans="1:6">
      <c r="A465">
        <v>1599</v>
      </c>
      <c r="B465" t="s">
        <v>1447</v>
      </c>
      <c r="C465">
        <v>46.9</v>
      </c>
      <c r="D465">
        <f>VLOOKUP(A465,收盤價!A:C,3,0)</f>
        <v>62</v>
      </c>
      <c r="E465" s="187">
        <v>0.32196162046908322</v>
      </c>
      <c r="F465">
        <v>70.66</v>
      </c>
    </row>
    <row r="466" spans="1:6">
      <c r="A466">
        <v>1307</v>
      </c>
      <c r="B466" t="s">
        <v>577</v>
      </c>
      <c r="C466">
        <v>32.200000000000003</v>
      </c>
      <c r="D466">
        <f>VLOOKUP(A466,收盤價!A:C,3,0)</f>
        <v>42.55</v>
      </c>
      <c r="E466" s="187">
        <v>0.32142857142857123</v>
      </c>
      <c r="F466">
        <v>70.599999999999994</v>
      </c>
    </row>
    <row r="467" spans="1:6">
      <c r="A467">
        <v>6223</v>
      </c>
      <c r="B467" t="s">
        <v>475</v>
      </c>
      <c r="C467">
        <v>50.9</v>
      </c>
      <c r="D467">
        <f>VLOOKUP(A467,收盤價!A:C,3,0)</f>
        <v>67.2</v>
      </c>
      <c r="E467" s="187">
        <v>0.32023575638506885</v>
      </c>
      <c r="F467">
        <v>70.540000000000006</v>
      </c>
    </row>
    <row r="468" spans="1:6">
      <c r="A468">
        <v>8406</v>
      </c>
      <c r="B468" t="s">
        <v>1829</v>
      </c>
      <c r="C468">
        <v>305</v>
      </c>
      <c r="D468">
        <f>VLOOKUP(A468,收盤價!A:C,3,0)</f>
        <v>402.5</v>
      </c>
      <c r="E468" s="187">
        <v>0.31967213114754101</v>
      </c>
      <c r="F468">
        <v>70.47</v>
      </c>
    </row>
    <row r="469" spans="1:6">
      <c r="A469">
        <v>1701</v>
      </c>
      <c r="B469" t="s">
        <v>699</v>
      </c>
      <c r="C469">
        <v>15.1</v>
      </c>
      <c r="D469">
        <f>VLOOKUP(A469,收盤價!A:C,3,0)</f>
        <v>19.899999999999999</v>
      </c>
      <c r="E469" s="187">
        <v>0.31788079470198671</v>
      </c>
      <c r="F469">
        <v>70.41</v>
      </c>
    </row>
    <row r="470" spans="1:6">
      <c r="A470">
        <v>1560</v>
      </c>
      <c r="B470" t="s">
        <v>678</v>
      </c>
      <c r="C470">
        <v>41.75</v>
      </c>
      <c r="D470">
        <f>VLOOKUP(A470,收盤價!A:C,3,0)</f>
        <v>55</v>
      </c>
      <c r="E470" s="187">
        <v>0.31736526946107785</v>
      </c>
      <c r="F470">
        <v>70.349999999999994</v>
      </c>
    </row>
    <row r="471" spans="1:6">
      <c r="A471">
        <v>5227</v>
      </c>
      <c r="B471" t="s">
        <v>1647</v>
      </c>
      <c r="C471">
        <v>27.1</v>
      </c>
      <c r="D471">
        <f>VLOOKUP(A471,收盤價!A:C,3,0)</f>
        <v>35.700000000000003</v>
      </c>
      <c r="E471" s="187">
        <v>0.31734317343173435</v>
      </c>
      <c r="F471">
        <v>70.28</v>
      </c>
    </row>
    <row r="472" spans="1:6">
      <c r="A472">
        <v>2911</v>
      </c>
      <c r="B472" t="s">
        <v>1041</v>
      </c>
      <c r="C472">
        <v>12.45</v>
      </c>
      <c r="D472">
        <f>VLOOKUP(A472,收盤價!A:C,3,0)</f>
        <v>16.399999999999999</v>
      </c>
      <c r="E472" s="187">
        <v>0.31726907630522083</v>
      </c>
      <c r="F472">
        <v>70.22</v>
      </c>
    </row>
    <row r="473" spans="1:6">
      <c r="A473">
        <v>8383</v>
      </c>
      <c r="B473" t="s">
        <v>514</v>
      </c>
      <c r="C473">
        <v>40.1</v>
      </c>
      <c r="D473">
        <f>VLOOKUP(A473,收盤價!A:C,3,0)</f>
        <v>52.8</v>
      </c>
      <c r="E473" s="187">
        <v>0.31670822942643378</v>
      </c>
      <c r="F473">
        <v>70.16</v>
      </c>
    </row>
    <row r="474" spans="1:6">
      <c r="A474">
        <v>6265</v>
      </c>
      <c r="B474" t="s">
        <v>490</v>
      </c>
      <c r="C474">
        <v>5.69</v>
      </c>
      <c r="D474">
        <f>VLOOKUP(A474,收盤價!A:C,3,0)</f>
        <v>7.48</v>
      </c>
      <c r="E474" s="187">
        <v>0.31458699472759227</v>
      </c>
      <c r="F474">
        <v>70.09</v>
      </c>
    </row>
    <row r="475" spans="1:6">
      <c r="A475">
        <v>5211</v>
      </c>
      <c r="B475" t="s">
        <v>408</v>
      </c>
      <c r="C475">
        <v>17.649999999999999</v>
      </c>
      <c r="D475">
        <f>VLOOKUP(A475,收盤價!A:C,3,0)</f>
        <v>23.2</v>
      </c>
      <c r="E475" s="187">
        <v>0.31444759206798872</v>
      </c>
      <c r="F475">
        <v>70.03</v>
      </c>
    </row>
    <row r="476" spans="1:6">
      <c r="A476">
        <v>8255</v>
      </c>
      <c r="B476" t="s">
        <v>1816</v>
      </c>
      <c r="C476">
        <v>86</v>
      </c>
      <c r="D476">
        <f>VLOOKUP(A476,收盤價!A:C,3,0)</f>
        <v>113</v>
      </c>
      <c r="E476" s="187">
        <v>0.31395348837209303</v>
      </c>
      <c r="F476">
        <v>69.97</v>
      </c>
    </row>
    <row r="477" spans="1:6">
      <c r="A477">
        <v>1471</v>
      </c>
      <c r="B477" t="s">
        <v>640</v>
      </c>
      <c r="C477">
        <v>3.42</v>
      </c>
      <c r="D477">
        <f>VLOOKUP(A477,收盤價!A:C,3,0)</f>
        <v>4.49</v>
      </c>
      <c r="E477" s="187">
        <v>0.31286549707602346</v>
      </c>
      <c r="F477">
        <v>69.91</v>
      </c>
    </row>
    <row r="478" spans="1:6">
      <c r="A478">
        <v>6215</v>
      </c>
      <c r="B478" t="s">
        <v>1299</v>
      </c>
      <c r="C478">
        <v>9.75</v>
      </c>
      <c r="D478">
        <f>VLOOKUP(A478,收盤價!A:C,3,0)</f>
        <v>12.8</v>
      </c>
      <c r="E478" s="187">
        <v>0.31282051282051287</v>
      </c>
      <c r="F478">
        <v>69.84</v>
      </c>
    </row>
    <row r="479" spans="1:6">
      <c r="A479">
        <v>6220</v>
      </c>
      <c r="B479" t="s">
        <v>473</v>
      </c>
      <c r="C479">
        <v>11.55</v>
      </c>
      <c r="D479">
        <f>VLOOKUP(A479,收盤價!A:C,3,0)</f>
        <v>15.15</v>
      </c>
      <c r="E479" s="187">
        <v>0.31168831168831163</v>
      </c>
      <c r="F479">
        <v>69.78</v>
      </c>
    </row>
    <row r="480" spans="1:6">
      <c r="A480">
        <v>6022</v>
      </c>
      <c r="B480" t="s">
        <v>1706</v>
      </c>
      <c r="C480">
        <v>7.7</v>
      </c>
      <c r="D480">
        <f>VLOOKUP(A480,收盤價!A:C,3,0)</f>
        <v>10.1</v>
      </c>
      <c r="E480" s="187">
        <v>0.31168831168831163</v>
      </c>
      <c r="F480">
        <v>69.72</v>
      </c>
    </row>
    <row r="481" spans="1:6">
      <c r="A481">
        <v>2228</v>
      </c>
      <c r="B481" t="s">
        <v>794</v>
      </c>
      <c r="C481">
        <v>122</v>
      </c>
      <c r="D481">
        <f>VLOOKUP(A481,收盤價!A:C,3,0)</f>
        <v>160</v>
      </c>
      <c r="E481" s="187">
        <v>0.31147540983606559</v>
      </c>
      <c r="F481">
        <v>69.650000000000006</v>
      </c>
    </row>
    <row r="482" spans="1:6">
      <c r="A482">
        <v>5452</v>
      </c>
      <c r="B482" t="s">
        <v>434</v>
      </c>
      <c r="C482">
        <v>7.1</v>
      </c>
      <c r="D482">
        <f>VLOOKUP(A482,收盤價!A:C,3,0)</f>
        <v>9.31</v>
      </c>
      <c r="E482" s="187">
        <v>0.31126760563380296</v>
      </c>
      <c r="F482">
        <v>69.59</v>
      </c>
    </row>
    <row r="483" spans="1:6">
      <c r="A483">
        <v>1905</v>
      </c>
      <c r="B483" t="s">
        <v>1855</v>
      </c>
      <c r="C483">
        <v>7.62</v>
      </c>
      <c r="D483">
        <f>VLOOKUP(A483,收盤價!A:C,3,0)</f>
        <v>9.99</v>
      </c>
      <c r="E483" s="187">
        <v>0.3110236220472441</v>
      </c>
      <c r="F483">
        <v>69.53</v>
      </c>
    </row>
    <row r="484" spans="1:6">
      <c r="A484">
        <v>6275</v>
      </c>
      <c r="B484" t="s">
        <v>1763</v>
      </c>
      <c r="C484">
        <v>9.65</v>
      </c>
      <c r="D484">
        <f>VLOOKUP(A484,收盤價!A:C,3,0)</f>
        <v>12.65</v>
      </c>
      <c r="E484" s="187">
        <v>0.31088082901554404</v>
      </c>
      <c r="F484">
        <v>69.459999999999994</v>
      </c>
    </row>
    <row r="485" spans="1:6">
      <c r="A485">
        <v>3432</v>
      </c>
      <c r="B485" t="s">
        <v>1127</v>
      </c>
      <c r="C485">
        <v>10.8</v>
      </c>
      <c r="D485">
        <f>VLOOKUP(A485,收盤價!A:C,3,0)</f>
        <v>14.15</v>
      </c>
      <c r="E485" s="187">
        <v>0.31018518518518512</v>
      </c>
      <c r="F485">
        <v>69.400000000000006</v>
      </c>
    </row>
    <row r="486" spans="1:6">
      <c r="A486">
        <v>6117</v>
      </c>
      <c r="B486" t="s">
        <v>1265</v>
      </c>
      <c r="C486">
        <v>11.45</v>
      </c>
      <c r="D486">
        <f>VLOOKUP(A486,收盤價!A:C,3,0)</f>
        <v>15</v>
      </c>
      <c r="E486" s="187">
        <v>0.3100436681222708</v>
      </c>
      <c r="F486">
        <v>69.34</v>
      </c>
    </row>
    <row r="487" spans="1:6">
      <c r="A487">
        <v>4550</v>
      </c>
      <c r="B487" t="s">
        <v>385</v>
      </c>
      <c r="C487">
        <v>18.25</v>
      </c>
      <c r="D487">
        <f>VLOOKUP(A487,收盤價!A:C,3,0)</f>
        <v>23.9</v>
      </c>
      <c r="E487" s="187">
        <v>0.30958904109589036</v>
      </c>
      <c r="F487">
        <v>69.27</v>
      </c>
    </row>
    <row r="488" spans="1:6">
      <c r="A488">
        <v>9919</v>
      </c>
      <c r="B488" t="s">
        <v>1412</v>
      </c>
      <c r="C488">
        <v>9.0500000000000007</v>
      </c>
      <c r="D488">
        <f>VLOOKUP(A488,收盤價!A:C,3,0)</f>
        <v>11.85</v>
      </c>
      <c r="E488" s="187">
        <v>0.30939226519337004</v>
      </c>
      <c r="F488">
        <v>69.209999999999994</v>
      </c>
    </row>
    <row r="489" spans="1:6">
      <c r="A489">
        <v>3006</v>
      </c>
      <c r="B489" t="s">
        <v>1051</v>
      </c>
      <c r="C489">
        <v>22.2</v>
      </c>
      <c r="D489">
        <f>VLOOKUP(A489,收盤價!A:C,3,0)</f>
        <v>29.05</v>
      </c>
      <c r="E489" s="187">
        <v>0.30855855855855863</v>
      </c>
      <c r="F489">
        <v>69.150000000000006</v>
      </c>
    </row>
    <row r="490" spans="1:6">
      <c r="A490">
        <v>3231</v>
      </c>
      <c r="B490" t="s">
        <v>1109</v>
      </c>
      <c r="C490">
        <v>12.5</v>
      </c>
      <c r="D490">
        <f>VLOOKUP(A490,收盤價!A:C,3,0)</f>
        <v>16.350000000000001</v>
      </c>
      <c r="E490" s="187">
        <v>0.30800000000000011</v>
      </c>
      <c r="F490">
        <v>69.09</v>
      </c>
    </row>
    <row r="491" spans="1:6">
      <c r="A491">
        <v>4722</v>
      </c>
      <c r="B491" t="s">
        <v>1200</v>
      </c>
      <c r="C491">
        <v>25.5</v>
      </c>
      <c r="D491">
        <f>VLOOKUP(A491,收盤價!A:C,3,0)</f>
        <v>33.35</v>
      </c>
      <c r="E491" s="187">
        <v>0.30784313725490203</v>
      </c>
      <c r="F491">
        <v>69.02</v>
      </c>
    </row>
    <row r="492" spans="1:6">
      <c r="A492">
        <v>3308</v>
      </c>
      <c r="B492" t="s">
        <v>1114</v>
      </c>
      <c r="C492">
        <v>6.01</v>
      </c>
      <c r="D492">
        <f>VLOOKUP(A492,收盤價!A:C,3,0)</f>
        <v>7.86</v>
      </c>
      <c r="E492" s="187">
        <v>0.30782029950083206</v>
      </c>
      <c r="F492">
        <v>68.959999999999994</v>
      </c>
    </row>
    <row r="493" spans="1:6">
      <c r="A493">
        <v>2201</v>
      </c>
      <c r="B493" t="s">
        <v>788</v>
      </c>
      <c r="C493">
        <v>25.2</v>
      </c>
      <c r="D493">
        <f>VLOOKUP(A493,收盤價!A:C,3,0)</f>
        <v>32.950000000000003</v>
      </c>
      <c r="E493" s="187">
        <v>0.30753968253968267</v>
      </c>
      <c r="F493">
        <v>68.900000000000006</v>
      </c>
    </row>
    <row r="494" spans="1:6">
      <c r="A494">
        <v>3379</v>
      </c>
      <c r="B494" t="s">
        <v>1514</v>
      </c>
      <c r="C494">
        <v>11.6</v>
      </c>
      <c r="D494">
        <f>VLOOKUP(A494,收盤價!A:C,3,0)</f>
        <v>15.15</v>
      </c>
      <c r="E494" s="187">
        <v>0.30603448275862077</v>
      </c>
      <c r="F494">
        <v>68.83</v>
      </c>
    </row>
    <row r="495" spans="1:6">
      <c r="A495">
        <v>6213</v>
      </c>
      <c r="B495" t="s">
        <v>1297</v>
      </c>
      <c r="C495">
        <v>16.75</v>
      </c>
      <c r="D495">
        <f>VLOOKUP(A495,收盤價!A:C,3,0)</f>
        <v>21.85</v>
      </c>
      <c r="E495" s="187">
        <v>0.3044776119402986</v>
      </c>
      <c r="F495">
        <v>68.77</v>
      </c>
    </row>
    <row r="496" spans="1:6">
      <c r="A496">
        <v>8354</v>
      </c>
      <c r="B496" t="s">
        <v>1824</v>
      </c>
      <c r="C496">
        <v>11.85</v>
      </c>
      <c r="D496">
        <f>VLOOKUP(A496,收盤價!A:C,3,0)</f>
        <v>15.45</v>
      </c>
      <c r="E496" s="187">
        <v>0.30379746835443033</v>
      </c>
      <c r="F496">
        <v>68.709999999999994</v>
      </c>
    </row>
    <row r="497" spans="1:6">
      <c r="A497">
        <v>6020</v>
      </c>
      <c r="B497" t="s">
        <v>451</v>
      </c>
      <c r="C497">
        <v>10.7</v>
      </c>
      <c r="D497">
        <f>VLOOKUP(A497,收盤價!A:C,3,0)</f>
        <v>13.95</v>
      </c>
      <c r="E497" s="187">
        <v>0.30373831775700938</v>
      </c>
      <c r="F497">
        <v>68.64</v>
      </c>
    </row>
    <row r="498" spans="1:6">
      <c r="A498">
        <v>2476</v>
      </c>
      <c r="B498" t="s">
        <v>921</v>
      </c>
      <c r="C498">
        <v>17.5</v>
      </c>
      <c r="D498">
        <f>VLOOKUP(A498,收盤價!A:C,3,0)</f>
        <v>22.8</v>
      </c>
      <c r="E498" s="187">
        <v>0.30285714285714288</v>
      </c>
      <c r="F498">
        <v>68.58</v>
      </c>
    </row>
    <row r="499" spans="1:6">
      <c r="A499">
        <v>5278</v>
      </c>
      <c r="B499" t="s">
        <v>414</v>
      </c>
      <c r="C499">
        <v>22.5</v>
      </c>
      <c r="D499">
        <f>VLOOKUP(A499,收盤價!A:C,3,0)</f>
        <v>29.3</v>
      </c>
      <c r="E499" s="187">
        <v>0.30222222222222228</v>
      </c>
      <c r="F499">
        <v>68.52</v>
      </c>
    </row>
    <row r="500" spans="1:6">
      <c r="A500">
        <v>3060</v>
      </c>
      <c r="B500" t="s">
        <v>1098</v>
      </c>
      <c r="C500">
        <v>44.55</v>
      </c>
      <c r="D500">
        <f>VLOOKUP(A500,收盤價!A:C,3,0)</f>
        <v>58</v>
      </c>
      <c r="E500" s="187">
        <v>0.30190796857463531</v>
      </c>
      <c r="F500">
        <v>68.45</v>
      </c>
    </row>
    <row r="501" spans="1:6">
      <c r="A501">
        <v>1533</v>
      </c>
      <c r="B501" t="s">
        <v>669</v>
      </c>
      <c r="C501">
        <v>34.65</v>
      </c>
      <c r="D501">
        <f>VLOOKUP(A501,收盤價!A:C,3,0)</f>
        <v>45.1</v>
      </c>
      <c r="E501" s="187">
        <v>0.30158730158730168</v>
      </c>
      <c r="F501">
        <v>68.39</v>
      </c>
    </row>
    <row r="502" spans="1:6">
      <c r="A502">
        <v>6283</v>
      </c>
      <c r="B502" t="s">
        <v>1316</v>
      </c>
      <c r="C502">
        <v>3.65</v>
      </c>
      <c r="D502">
        <f>VLOOKUP(A502,收盤價!A:C,3,0)</f>
        <v>4.75</v>
      </c>
      <c r="E502" s="187">
        <v>0.30136986301369867</v>
      </c>
      <c r="F502">
        <v>68.33</v>
      </c>
    </row>
    <row r="503" spans="1:6">
      <c r="A503">
        <v>910801</v>
      </c>
      <c r="B503" t="s">
        <v>1382</v>
      </c>
      <c r="C503">
        <v>3.85</v>
      </c>
      <c r="D503">
        <f>VLOOKUP(A503,收盤價!A:C,3,0)</f>
        <v>5.01</v>
      </c>
      <c r="E503" s="187">
        <v>0.30129870129870123</v>
      </c>
      <c r="F503">
        <v>68.260000000000005</v>
      </c>
    </row>
    <row r="504" spans="1:6">
      <c r="A504">
        <v>5522</v>
      </c>
      <c r="B504" t="s">
        <v>1247</v>
      </c>
      <c r="C504">
        <v>27.55</v>
      </c>
      <c r="D504">
        <f>VLOOKUP(A504,收盤價!A:C,3,0)</f>
        <v>35.85</v>
      </c>
      <c r="E504" s="187">
        <v>0.30127041742286753</v>
      </c>
      <c r="F504">
        <v>68.2</v>
      </c>
    </row>
    <row r="505" spans="1:6">
      <c r="A505">
        <v>4105</v>
      </c>
      <c r="B505" t="s">
        <v>1564</v>
      </c>
      <c r="C505">
        <v>76.099999999999994</v>
      </c>
      <c r="D505">
        <f>VLOOKUP(A505,收盤價!A:C,3,0)</f>
        <v>99</v>
      </c>
      <c r="E505" s="187">
        <v>0.30091984231274649</v>
      </c>
      <c r="F505">
        <v>68.14</v>
      </c>
    </row>
    <row r="506" spans="1:6">
      <c r="A506">
        <v>2915</v>
      </c>
      <c r="B506" t="s">
        <v>1044</v>
      </c>
      <c r="C506">
        <v>46.55</v>
      </c>
      <c r="D506">
        <f>VLOOKUP(A506,收盤價!A:C,3,0)</f>
        <v>60.5</v>
      </c>
      <c r="E506" s="187">
        <v>0.29967776584317946</v>
      </c>
      <c r="F506">
        <v>68.08</v>
      </c>
    </row>
    <row r="507" spans="1:6">
      <c r="A507">
        <v>3048</v>
      </c>
      <c r="B507" t="s">
        <v>1087</v>
      </c>
      <c r="C507">
        <v>14.85</v>
      </c>
      <c r="D507">
        <f>VLOOKUP(A507,收盤價!A:C,3,0)</f>
        <v>19.3</v>
      </c>
      <c r="E507" s="187">
        <v>0.29966329966329974</v>
      </c>
      <c r="F507">
        <v>68.010000000000005</v>
      </c>
    </row>
    <row r="508" spans="1:6">
      <c r="A508">
        <v>6161</v>
      </c>
      <c r="B508" t="s">
        <v>460</v>
      </c>
      <c r="C508">
        <v>5.74</v>
      </c>
      <c r="D508">
        <f>VLOOKUP(A508,收盤價!A:C,3,0)</f>
        <v>7.46</v>
      </c>
      <c r="E508" s="187">
        <v>0.2996515679442508</v>
      </c>
      <c r="F508">
        <v>67.95</v>
      </c>
    </row>
    <row r="509" spans="1:6">
      <c r="A509">
        <v>4123</v>
      </c>
      <c r="B509" t="s">
        <v>1570</v>
      </c>
      <c r="C509">
        <v>55.2</v>
      </c>
      <c r="D509">
        <f>VLOOKUP(A509,收盤價!A:C,3,0)</f>
        <v>71.7</v>
      </c>
      <c r="E509" s="187">
        <v>0.29891304347826086</v>
      </c>
      <c r="F509">
        <v>67.89</v>
      </c>
    </row>
    <row r="510" spans="1:6">
      <c r="A510">
        <v>3474</v>
      </c>
      <c r="B510" t="s">
        <v>1132</v>
      </c>
      <c r="C510">
        <v>17.399999999999999</v>
      </c>
      <c r="D510">
        <f>VLOOKUP(A510,收盤價!A:C,3,0)</f>
        <v>22.6</v>
      </c>
      <c r="E510" s="187">
        <v>0.29885057471264387</v>
      </c>
      <c r="F510">
        <v>67.819999999999993</v>
      </c>
    </row>
    <row r="511" spans="1:6">
      <c r="A511">
        <v>5383</v>
      </c>
      <c r="B511" t="s">
        <v>1669</v>
      </c>
      <c r="C511">
        <v>8.1999999999999993</v>
      </c>
      <c r="D511">
        <f>VLOOKUP(A511,收盤價!A:C,3,0)</f>
        <v>10.65</v>
      </c>
      <c r="E511" s="187">
        <v>0.2987804878048782</v>
      </c>
      <c r="F511">
        <v>67.760000000000005</v>
      </c>
    </row>
    <row r="512" spans="1:6">
      <c r="A512">
        <v>3268</v>
      </c>
      <c r="B512" t="s">
        <v>309</v>
      </c>
      <c r="C512">
        <v>11.25</v>
      </c>
      <c r="D512">
        <f>VLOOKUP(A512,收盤價!A:C,3,0)</f>
        <v>14.6</v>
      </c>
      <c r="E512" s="187">
        <v>0.29777777777777775</v>
      </c>
      <c r="F512">
        <v>67.7</v>
      </c>
    </row>
    <row r="513" spans="1:6">
      <c r="A513">
        <v>6298</v>
      </c>
      <c r="B513" t="s">
        <v>1770</v>
      </c>
      <c r="C513">
        <v>13.3</v>
      </c>
      <c r="D513">
        <f>VLOOKUP(A513,收盤價!A:C,3,0)</f>
        <v>17.25</v>
      </c>
      <c r="E513" s="187">
        <v>0.29699248120300747</v>
      </c>
      <c r="F513">
        <v>67.63</v>
      </c>
    </row>
    <row r="514" spans="1:6">
      <c r="A514">
        <v>2108</v>
      </c>
      <c r="B514" t="s">
        <v>784</v>
      </c>
      <c r="C514">
        <v>21.6</v>
      </c>
      <c r="D514">
        <f>VLOOKUP(A514,收盤價!A:C,3,0)</f>
        <v>28</v>
      </c>
      <c r="E514" s="187">
        <v>0.29629629629629622</v>
      </c>
      <c r="F514">
        <v>67.569999999999993</v>
      </c>
    </row>
    <row r="515" spans="1:6">
      <c r="A515">
        <v>6145</v>
      </c>
      <c r="B515" t="s">
        <v>1274</v>
      </c>
      <c r="C515">
        <v>10.5</v>
      </c>
      <c r="D515">
        <f>VLOOKUP(A515,收盤價!A:C,3,0)</f>
        <v>13.6</v>
      </c>
      <c r="E515" s="187">
        <v>0.29523809523809519</v>
      </c>
      <c r="F515">
        <v>67.510000000000005</v>
      </c>
    </row>
    <row r="516" spans="1:6">
      <c r="A516">
        <v>4905</v>
      </c>
      <c r="B516" t="s">
        <v>1623</v>
      </c>
      <c r="C516">
        <v>31.5</v>
      </c>
      <c r="D516">
        <f>VLOOKUP(A516,收盤價!A:C,3,0)</f>
        <v>40.799999999999997</v>
      </c>
      <c r="E516" s="187">
        <v>0.29523809523809513</v>
      </c>
      <c r="F516">
        <v>67.44</v>
      </c>
    </row>
    <row r="517" spans="1:6">
      <c r="A517">
        <v>3437</v>
      </c>
      <c r="B517" t="s">
        <v>1128</v>
      </c>
      <c r="C517">
        <v>19</v>
      </c>
      <c r="D517">
        <f>VLOOKUP(A517,收盤價!A:C,3,0)</f>
        <v>24.6</v>
      </c>
      <c r="E517" s="187">
        <v>0.29473684210526324</v>
      </c>
      <c r="F517">
        <v>67.38</v>
      </c>
    </row>
    <row r="518" spans="1:6">
      <c r="A518">
        <v>2436</v>
      </c>
      <c r="B518" t="s">
        <v>890</v>
      </c>
      <c r="C518">
        <v>13.75</v>
      </c>
      <c r="D518">
        <f>VLOOKUP(A518,收盤價!A:C,3,0)</f>
        <v>17.8</v>
      </c>
      <c r="E518" s="187">
        <v>0.29454545454545461</v>
      </c>
      <c r="F518">
        <v>67.319999999999993</v>
      </c>
    </row>
    <row r="519" spans="1:6">
      <c r="A519">
        <v>3383</v>
      </c>
      <c r="B519" t="s">
        <v>1122</v>
      </c>
      <c r="C519">
        <v>6.29</v>
      </c>
      <c r="D519">
        <f>VLOOKUP(A519,收盤價!A:C,3,0)</f>
        <v>8.14</v>
      </c>
      <c r="E519" s="187">
        <v>0.29411764705882359</v>
      </c>
      <c r="F519">
        <v>67.260000000000005</v>
      </c>
    </row>
    <row r="520" spans="1:6">
      <c r="A520">
        <v>912000</v>
      </c>
      <c r="B520" t="s">
        <v>1393</v>
      </c>
      <c r="C520">
        <v>3.06</v>
      </c>
      <c r="D520">
        <f>VLOOKUP(A520,收盤價!A:C,3,0)</f>
        <v>3.96</v>
      </c>
      <c r="E520" s="187">
        <v>0.29411764705882348</v>
      </c>
      <c r="F520">
        <v>67.19</v>
      </c>
    </row>
    <row r="521" spans="1:6">
      <c r="A521">
        <v>2405</v>
      </c>
      <c r="B521" t="s">
        <v>867</v>
      </c>
      <c r="C521">
        <v>5.68</v>
      </c>
      <c r="D521">
        <f>VLOOKUP(A521,收盤價!A:C,3,0)</f>
        <v>7.35</v>
      </c>
      <c r="E521" s="187">
        <v>0.29401408450704225</v>
      </c>
      <c r="F521">
        <v>67.13</v>
      </c>
    </row>
    <row r="522" spans="1:6">
      <c r="A522">
        <v>3374</v>
      </c>
      <c r="B522" t="s">
        <v>325</v>
      </c>
      <c r="C522">
        <v>29.85</v>
      </c>
      <c r="D522">
        <f>VLOOKUP(A522,收盤價!A:C,3,0)</f>
        <v>38.6</v>
      </c>
      <c r="E522" s="187">
        <v>0.29313232830820768</v>
      </c>
      <c r="F522">
        <v>67.069999999999993</v>
      </c>
    </row>
    <row r="523" spans="1:6">
      <c r="A523">
        <v>5243</v>
      </c>
      <c r="B523" t="s">
        <v>1232</v>
      </c>
      <c r="C523">
        <v>22.7</v>
      </c>
      <c r="D523">
        <f>VLOOKUP(A523,收盤價!A:C,3,0)</f>
        <v>29.35</v>
      </c>
      <c r="E523" s="187">
        <v>0.29295154185022038</v>
      </c>
      <c r="F523">
        <v>67</v>
      </c>
    </row>
    <row r="524" spans="1:6">
      <c r="A524">
        <v>8182</v>
      </c>
      <c r="B524" t="s">
        <v>1813</v>
      </c>
      <c r="C524">
        <v>9.9</v>
      </c>
      <c r="D524">
        <f>VLOOKUP(A524,收盤價!A:C,3,0)</f>
        <v>12.8</v>
      </c>
      <c r="E524" s="187">
        <v>0.29292929292929293</v>
      </c>
      <c r="F524">
        <v>66.94</v>
      </c>
    </row>
    <row r="525" spans="1:6">
      <c r="A525">
        <v>3288</v>
      </c>
      <c r="B525" t="s">
        <v>1501</v>
      </c>
      <c r="C525">
        <v>5.81</v>
      </c>
      <c r="D525">
        <f>VLOOKUP(A525,收盤價!A:C,3,0)</f>
        <v>7.51</v>
      </c>
      <c r="E525" s="187">
        <v>0.29259896729776252</v>
      </c>
      <c r="F525">
        <v>66.88</v>
      </c>
    </row>
    <row r="526" spans="1:6">
      <c r="A526">
        <v>3443</v>
      </c>
      <c r="B526" t="s">
        <v>1129</v>
      </c>
      <c r="C526">
        <v>53</v>
      </c>
      <c r="D526">
        <f>VLOOKUP(A526,收盤價!A:C,3,0)</f>
        <v>68.5</v>
      </c>
      <c r="E526" s="187">
        <v>0.29245283018867924</v>
      </c>
      <c r="F526">
        <v>66.81</v>
      </c>
    </row>
    <row r="527" spans="1:6">
      <c r="A527">
        <v>4746</v>
      </c>
      <c r="B527" t="s">
        <v>1204</v>
      </c>
      <c r="C527">
        <v>52.7</v>
      </c>
      <c r="D527">
        <f>VLOOKUP(A527,收盤價!A:C,3,0)</f>
        <v>68.099999999999994</v>
      </c>
      <c r="E527" s="187">
        <v>0.29222011385199226</v>
      </c>
      <c r="F527">
        <v>66.75</v>
      </c>
    </row>
    <row r="528" spans="1:6">
      <c r="A528">
        <v>3213</v>
      </c>
      <c r="B528" t="s">
        <v>1490</v>
      </c>
      <c r="C528">
        <v>34.299999999999997</v>
      </c>
      <c r="D528">
        <f>VLOOKUP(A528,收盤價!A:C,3,0)</f>
        <v>44.3</v>
      </c>
      <c r="E528" s="187">
        <v>0.29154518950437319</v>
      </c>
      <c r="F528">
        <v>66.69</v>
      </c>
    </row>
    <row r="529" spans="1:6">
      <c r="A529">
        <v>4906</v>
      </c>
      <c r="B529" t="s">
        <v>1207</v>
      </c>
      <c r="C529">
        <v>11.85</v>
      </c>
      <c r="D529">
        <f>VLOOKUP(A529,收盤價!A:C,3,0)</f>
        <v>15.3</v>
      </c>
      <c r="E529" s="187">
        <v>0.29113924050632922</v>
      </c>
      <c r="F529">
        <v>66.62</v>
      </c>
    </row>
    <row r="530" spans="1:6">
      <c r="A530">
        <v>2456</v>
      </c>
      <c r="B530" t="s">
        <v>906</v>
      </c>
      <c r="C530">
        <v>40.049999999999997</v>
      </c>
      <c r="D530">
        <f>VLOOKUP(A530,收盤價!A:C,3,0)</f>
        <v>51.7</v>
      </c>
      <c r="E530" s="187">
        <v>0.29088639200998767</v>
      </c>
      <c r="F530">
        <v>66.56</v>
      </c>
    </row>
    <row r="531" spans="1:6">
      <c r="A531">
        <v>1532</v>
      </c>
      <c r="B531" t="s">
        <v>668</v>
      </c>
      <c r="C531">
        <v>21</v>
      </c>
      <c r="D531">
        <f>VLOOKUP(A531,收盤價!A:C,3,0)</f>
        <v>27.1</v>
      </c>
      <c r="E531" s="187">
        <v>0.29047619047619055</v>
      </c>
      <c r="F531">
        <v>66.5</v>
      </c>
    </row>
    <row r="532" spans="1:6">
      <c r="A532">
        <v>1582</v>
      </c>
      <c r="B532" t="s">
        <v>680</v>
      </c>
      <c r="C532">
        <v>41</v>
      </c>
      <c r="D532">
        <f>VLOOKUP(A532,收盤價!A:C,3,0)</f>
        <v>52.9</v>
      </c>
      <c r="E532" s="187">
        <v>0.29024390243902437</v>
      </c>
      <c r="F532">
        <v>66.44</v>
      </c>
    </row>
    <row r="533" spans="1:6">
      <c r="A533">
        <v>1416</v>
      </c>
      <c r="B533" t="s">
        <v>602</v>
      </c>
      <c r="C533">
        <v>14.5</v>
      </c>
      <c r="D533">
        <f>VLOOKUP(A533,收盤價!A:C,3,0)</f>
        <v>18.7</v>
      </c>
      <c r="E533" s="187">
        <v>0.28965517241379307</v>
      </c>
      <c r="F533">
        <v>66.37</v>
      </c>
    </row>
    <row r="534" spans="1:6">
      <c r="A534">
        <v>911616</v>
      </c>
      <c r="B534" t="s">
        <v>1388</v>
      </c>
      <c r="C534">
        <v>1.97</v>
      </c>
      <c r="D534">
        <f>VLOOKUP(A534,收盤價!A:C,3,0)</f>
        <v>2.54</v>
      </c>
      <c r="E534" s="187">
        <v>0.28934010152284267</v>
      </c>
      <c r="F534">
        <v>66.31</v>
      </c>
    </row>
    <row r="535" spans="1:6">
      <c r="A535">
        <v>6180</v>
      </c>
      <c r="B535" t="s">
        <v>1738</v>
      </c>
      <c r="C535">
        <v>36</v>
      </c>
      <c r="D535">
        <f>VLOOKUP(A535,收盤價!A:C,3,0)</f>
        <v>46.4</v>
      </c>
      <c r="E535" s="187">
        <v>0.28888888888888886</v>
      </c>
      <c r="F535">
        <v>66.25</v>
      </c>
    </row>
    <row r="536" spans="1:6">
      <c r="A536">
        <v>6284</v>
      </c>
      <c r="B536" t="s">
        <v>1765</v>
      </c>
      <c r="C536">
        <v>18</v>
      </c>
      <c r="D536">
        <f>VLOOKUP(A536,收盤價!A:C,3,0)</f>
        <v>23.2</v>
      </c>
      <c r="E536" s="187">
        <v>0.28888888888888886</v>
      </c>
      <c r="F536">
        <v>66.180000000000007</v>
      </c>
    </row>
    <row r="537" spans="1:6">
      <c r="A537">
        <v>3315</v>
      </c>
      <c r="B537" t="s">
        <v>1117</v>
      </c>
      <c r="C537">
        <v>12.65</v>
      </c>
      <c r="D537">
        <f>VLOOKUP(A537,收盤價!A:C,3,0)</f>
        <v>16.3</v>
      </c>
      <c r="E537" s="187">
        <v>0.28853754940711462</v>
      </c>
      <c r="F537">
        <v>66.12</v>
      </c>
    </row>
    <row r="538" spans="1:6">
      <c r="A538">
        <v>3703</v>
      </c>
      <c r="B538" t="s">
        <v>1177</v>
      </c>
      <c r="C538">
        <v>7.84</v>
      </c>
      <c r="D538">
        <f>VLOOKUP(A538,收盤價!A:C,3,0)</f>
        <v>10.1</v>
      </c>
      <c r="E538" s="187">
        <v>0.28826530612244894</v>
      </c>
      <c r="F538">
        <v>66.06</v>
      </c>
    </row>
    <row r="539" spans="1:6">
      <c r="A539">
        <v>3171</v>
      </c>
      <c r="B539" t="s">
        <v>1485</v>
      </c>
      <c r="C539">
        <v>17</v>
      </c>
      <c r="D539">
        <f>VLOOKUP(A539,收盤價!A:C,3,0)</f>
        <v>21.9</v>
      </c>
      <c r="E539" s="187">
        <v>0.28823529411764698</v>
      </c>
      <c r="F539">
        <v>65.989999999999995</v>
      </c>
    </row>
    <row r="540" spans="1:6">
      <c r="A540">
        <v>1333</v>
      </c>
      <c r="B540" t="s">
        <v>263</v>
      </c>
      <c r="C540">
        <v>4.58</v>
      </c>
      <c r="D540">
        <f>VLOOKUP(A540,收盤價!A:C,3,0)</f>
        <v>5.9</v>
      </c>
      <c r="E540" s="187">
        <v>0.28820960698689962</v>
      </c>
      <c r="F540">
        <v>65.930000000000007</v>
      </c>
    </row>
    <row r="541" spans="1:6">
      <c r="A541">
        <v>1336</v>
      </c>
      <c r="B541" t="s">
        <v>264</v>
      </c>
      <c r="C541">
        <v>6.57</v>
      </c>
      <c r="D541">
        <f>VLOOKUP(A541,收盤價!A:C,3,0)</f>
        <v>8.4600000000000009</v>
      </c>
      <c r="E541" s="187">
        <v>0.28767123287671242</v>
      </c>
      <c r="F541">
        <v>65.87</v>
      </c>
    </row>
    <row r="542" spans="1:6">
      <c r="A542">
        <v>2415</v>
      </c>
      <c r="B542" t="s">
        <v>874</v>
      </c>
      <c r="C542">
        <v>9.98</v>
      </c>
      <c r="D542">
        <f>VLOOKUP(A542,收盤價!A:C,3,0)</f>
        <v>12.85</v>
      </c>
      <c r="E542" s="187">
        <v>0.2875751503006011</v>
      </c>
      <c r="F542">
        <v>65.8</v>
      </c>
    </row>
    <row r="543" spans="1:6">
      <c r="A543">
        <v>3652</v>
      </c>
      <c r="B543" t="s">
        <v>357</v>
      </c>
      <c r="C543">
        <v>13.6</v>
      </c>
      <c r="D543">
        <f>VLOOKUP(A543,收盤價!A:C,3,0)</f>
        <v>17.5</v>
      </c>
      <c r="E543" s="187">
        <v>0.28676470588235298</v>
      </c>
      <c r="F543">
        <v>65.739999999999995</v>
      </c>
    </row>
    <row r="544" spans="1:6">
      <c r="A544">
        <v>4432</v>
      </c>
      <c r="B544" t="s">
        <v>1598</v>
      </c>
      <c r="C544">
        <v>63.5</v>
      </c>
      <c r="D544">
        <f>VLOOKUP(A544,收盤價!A:C,3,0)</f>
        <v>81.7</v>
      </c>
      <c r="E544" s="187">
        <v>0.28661417322834648</v>
      </c>
      <c r="F544">
        <v>65.680000000000007</v>
      </c>
    </row>
    <row r="545" spans="1:6">
      <c r="A545">
        <v>4966</v>
      </c>
      <c r="B545" t="s">
        <v>1631</v>
      </c>
      <c r="C545">
        <v>178</v>
      </c>
      <c r="D545">
        <f>VLOOKUP(A545,收盤價!A:C,3,0)</f>
        <v>229</v>
      </c>
      <c r="E545" s="187">
        <v>0.28651685393258425</v>
      </c>
      <c r="F545">
        <v>65.62</v>
      </c>
    </row>
    <row r="546" spans="1:6">
      <c r="A546">
        <v>1466</v>
      </c>
      <c r="B546" t="s">
        <v>635</v>
      </c>
      <c r="C546">
        <v>12.4</v>
      </c>
      <c r="D546">
        <f>VLOOKUP(A546,收盤價!A:C,3,0)</f>
        <v>15.95</v>
      </c>
      <c r="E546" s="187">
        <v>0.28629032258064507</v>
      </c>
      <c r="F546">
        <v>65.55</v>
      </c>
    </row>
    <row r="547" spans="1:6">
      <c r="A547">
        <v>6419</v>
      </c>
      <c r="B547" t="s">
        <v>1772</v>
      </c>
      <c r="C547">
        <v>20</v>
      </c>
      <c r="D547">
        <f>VLOOKUP(A547,收盤價!A:C,3,0)</f>
        <v>25.7</v>
      </c>
      <c r="E547" s="187">
        <v>0.28499999999999998</v>
      </c>
      <c r="F547">
        <v>65.489999999999995</v>
      </c>
    </row>
    <row r="548" spans="1:6">
      <c r="A548">
        <v>8021</v>
      </c>
      <c r="B548" t="s">
        <v>1339</v>
      </c>
      <c r="C548">
        <v>19.5</v>
      </c>
      <c r="D548">
        <f>VLOOKUP(A548,收盤價!A:C,3,0)</f>
        <v>25.05</v>
      </c>
      <c r="E548" s="187">
        <v>0.28461538461538466</v>
      </c>
      <c r="F548">
        <v>65.430000000000007</v>
      </c>
    </row>
    <row r="549" spans="1:6">
      <c r="A549">
        <v>6173</v>
      </c>
      <c r="B549" t="s">
        <v>1736</v>
      </c>
      <c r="C549">
        <v>7.56</v>
      </c>
      <c r="D549">
        <f>VLOOKUP(A549,收盤價!A:C,3,0)</f>
        <v>9.7100000000000009</v>
      </c>
      <c r="E549" s="187">
        <v>0.28439153439153458</v>
      </c>
      <c r="F549">
        <v>65.36</v>
      </c>
    </row>
    <row r="550" spans="1:6">
      <c r="A550">
        <v>2903</v>
      </c>
      <c r="B550" t="s">
        <v>1035</v>
      </c>
      <c r="C550">
        <v>14.5</v>
      </c>
      <c r="D550">
        <f>VLOOKUP(A550,收盤價!A:C,3,0)</f>
        <v>18.600000000000001</v>
      </c>
      <c r="E550" s="187">
        <v>0.28275862068965529</v>
      </c>
      <c r="F550">
        <v>65.3</v>
      </c>
    </row>
    <row r="551" spans="1:6">
      <c r="A551">
        <v>5302</v>
      </c>
      <c r="B551" t="s">
        <v>418</v>
      </c>
      <c r="C551">
        <v>4.25</v>
      </c>
      <c r="D551">
        <f>VLOOKUP(A551,收盤價!A:C,3,0)</f>
        <v>5.45</v>
      </c>
      <c r="E551" s="187">
        <v>0.28235294117647064</v>
      </c>
      <c r="F551">
        <v>65.239999999999995</v>
      </c>
    </row>
    <row r="552" spans="1:6">
      <c r="A552">
        <v>2636</v>
      </c>
      <c r="B552" t="s">
        <v>1458</v>
      </c>
      <c r="C552">
        <v>23.4</v>
      </c>
      <c r="D552">
        <f>VLOOKUP(A552,收盤價!A:C,3,0)</f>
        <v>30</v>
      </c>
      <c r="E552" s="187">
        <v>0.2820512820512821</v>
      </c>
      <c r="F552">
        <v>65.17</v>
      </c>
    </row>
    <row r="553" spans="1:6">
      <c r="A553">
        <v>8050</v>
      </c>
      <c r="B553" t="s">
        <v>1788</v>
      </c>
      <c r="C553">
        <v>42.75</v>
      </c>
      <c r="D553">
        <f>VLOOKUP(A553,收盤價!A:C,3,0)</f>
        <v>54.8</v>
      </c>
      <c r="E553" s="187">
        <v>0.28187134502923972</v>
      </c>
      <c r="F553">
        <v>65.11</v>
      </c>
    </row>
    <row r="554" spans="1:6">
      <c r="A554">
        <v>4927</v>
      </c>
      <c r="B554" t="s">
        <v>1862</v>
      </c>
      <c r="C554">
        <v>32.65</v>
      </c>
      <c r="D554">
        <f>VLOOKUP(A554,收盤價!A:C,3,0)</f>
        <v>41.85</v>
      </c>
      <c r="E554" s="187">
        <v>0.28177641653905061</v>
      </c>
      <c r="F554">
        <v>65.05</v>
      </c>
    </row>
    <row r="555" spans="1:6">
      <c r="A555">
        <v>2352</v>
      </c>
      <c r="B555" t="s">
        <v>828</v>
      </c>
      <c r="C555">
        <v>8.6999999999999993</v>
      </c>
      <c r="D555">
        <f>VLOOKUP(A555,收盤價!A:C,3,0)</f>
        <v>11.15</v>
      </c>
      <c r="E555" s="187">
        <v>0.28160919540229901</v>
      </c>
      <c r="F555">
        <v>64.98</v>
      </c>
    </row>
    <row r="556" spans="1:6">
      <c r="A556">
        <v>9958</v>
      </c>
      <c r="B556" t="s">
        <v>1436</v>
      </c>
      <c r="C556">
        <v>7.8</v>
      </c>
      <c r="D556">
        <f>VLOOKUP(A556,收盤價!A:C,3,0)</f>
        <v>9.99</v>
      </c>
      <c r="E556" s="187">
        <v>0.28076923076923083</v>
      </c>
      <c r="F556">
        <v>64.92</v>
      </c>
    </row>
    <row r="557" spans="1:6">
      <c r="A557">
        <v>8109</v>
      </c>
      <c r="B557" t="s">
        <v>1806</v>
      </c>
      <c r="C557">
        <v>49.2</v>
      </c>
      <c r="D557">
        <f>VLOOKUP(A557,收盤價!A:C,3,0)</f>
        <v>63</v>
      </c>
      <c r="E557" s="187">
        <v>0.2804878048780487</v>
      </c>
      <c r="F557">
        <v>64.86</v>
      </c>
    </row>
    <row r="558" spans="1:6">
      <c r="A558">
        <v>6104</v>
      </c>
      <c r="B558" t="s">
        <v>1710</v>
      </c>
      <c r="C558">
        <v>28.9</v>
      </c>
      <c r="D558">
        <f>VLOOKUP(A558,收盤價!A:C,3,0)</f>
        <v>37</v>
      </c>
      <c r="E558" s="187">
        <v>0.28027681660899662</v>
      </c>
      <c r="F558">
        <v>64.790000000000006</v>
      </c>
    </row>
    <row r="559" spans="1:6">
      <c r="A559">
        <v>2356</v>
      </c>
      <c r="B559" t="s">
        <v>832</v>
      </c>
      <c r="C559">
        <v>14.15</v>
      </c>
      <c r="D559">
        <f>VLOOKUP(A559,收盤價!A:C,3,0)</f>
        <v>18.100000000000001</v>
      </c>
      <c r="E559" s="187">
        <v>0.27915194346289757</v>
      </c>
      <c r="F559">
        <v>64.73</v>
      </c>
    </row>
    <row r="560" spans="1:6">
      <c r="A560">
        <v>2471</v>
      </c>
      <c r="B560" t="s">
        <v>918</v>
      </c>
      <c r="C560">
        <v>10.8</v>
      </c>
      <c r="D560">
        <f>VLOOKUP(A560,收盤價!A:C,3,0)</f>
        <v>13.8</v>
      </c>
      <c r="E560" s="187">
        <v>0.27777777777777773</v>
      </c>
      <c r="F560">
        <v>64.67</v>
      </c>
    </row>
    <row r="561" spans="1:6">
      <c r="A561">
        <v>3598</v>
      </c>
      <c r="B561" t="s">
        <v>1159</v>
      </c>
      <c r="C561">
        <v>38.6</v>
      </c>
      <c r="D561">
        <f>VLOOKUP(A561,收盤價!A:C,3,0)</f>
        <v>49.3</v>
      </c>
      <c r="E561" s="187">
        <v>0.27720207253885998</v>
      </c>
      <c r="F561">
        <v>64.61</v>
      </c>
    </row>
    <row r="562" spans="1:6">
      <c r="A562">
        <v>5434</v>
      </c>
      <c r="B562" t="s">
        <v>1240</v>
      </c>
      <c r="C562">
        <v>41.85</v>
      </c>
      <c r="D562">
        <f>VLOOKUP(A562,收盤價!A:C,3,0)</f>
        <v>53.4</v>
      </c>
      <c r="E562" s="187">
        <v>0.27598566308243722</v>
      </c>
      <c r="F562">
        <v>64.540000000000006</v>
      </c>
    </row>
    <row r="563" spans="1:6">
      <c r="A563">
        <v>4942</v>
      </c>
      <c r="B563" t="s">
        <v>1217</v>
      </c>
      <c r="C563">
        <v>18.2</v>
      </c>
      <c r="D563">
        <f>VLOOKUP(A563,收盤價!A:C,3,0)</f>
        <v>23.2</v>
      </c>
      <c r="E563" s="187">
        <v>0.27472527472527475</v>
      </c>
      <c r="F563">
        <v>64.48</v>
      </c>
    </row>
    <row r="564" spans="1:6">
      <c r="A564">
        <v>1538</v>
      </c>
      <c r="B564" t="s">
        <v>673</v>
      </c>
      <c r="C564">
        <v>4.16</v>
      </c>
      <c r="D564">
        <f>VLOOKUP(A564,收盤價!A:C,3,0)</f>
        <v>5.3</v>
      </c>
      <c r="E564" s="187">
        <v>0.27403846153846145</v>
      </c>
      <c r="F564">
        <v>64.42</v>
      </c>
    </row>
    <row r="565" spans="1:6">
      <c r="A565">
        <v>8426</v>
      </c>
      <c r="B565" t="s">
        <v>1833</v>
      </c>
      <c r="C565">
        <v>20.85</v>
      </c>
      <c r="D565">
        <f>VLOOKUP(A565,收盤價!A:C,3,0)</f>
        <v>26.55</v>
      </c>
      <c r="E565" s="187">
        <v>0.27338129496402874</v>
      </c>
      <c r="F565">
        <v>64.349999999999994</v>
      </c>
    </row>
    <row r="566" spans="1:6">
      <c r="A566">
        <v>8929</v>
      </c>
      <c r="B566" t="s">
        <v>531</v>
      </c>
      <c r="C566">
        <v>18.3</v>
      </c>
      <c r="D566">
        <f>VLOOKUP(A566,收盤價!A:C,3,0)</f>
        <v>23.3</v>
      </c>
      <c r="E566" s="187">
        <v>0.27322404371584696</v>
      </c>
      <c r="F566">
        <v>64.290000000000006</v>
      </c>
    </row>
    <row r="567" spans="1:6">
      <c r="A567">
        <v>3704</v>
      </c>
      <c r="B567" t="s">
        <v>1178</v>
      </c>
      <c r="C567">
        <v>9.6999999999999993</v>
      </c>
      <c r="D567">
        <f>VLOOKUP(A567,收盤價!A:C,3,0)</f>
        <v>12.35</v>
      </c>
      <c r="E567" s="187">
        <v>0.27319587628865988</v>
      </c>
      <c r="F567">
        <v>64.23</v>
      </c>
    </row>
    <row r="568" spans="1:6">
      <c r="A568">
        <v>8082</v>
      </c>
      <c r="B568" t="s">
        <v>507</v>
      </c>
      <c r="C568">
        <v>1.87</v>
      </c>
      <c r="D568">
        <f>VLOOKUP(A568,收盤價!A:C,3,0)</f>
        <v>2.38</v>
      </c>
      <c r="E568" s="187">
        <v>0.2727272727272726</v>
      </c>
      <c r="F568">
        <v>64.16</v>
      </c>
    </row>
    <row r="569" spans="1:6">
      <c r="A569">
        <v>3131</v>
      </c>
      <c r="B569" t="s">
        <v>1481</v>
      </c>
      <c r="C569">
        <v>147</v>
      </c>
      <c r="D569">
        <f>VLOOKUP(A569,收盤價!A:C,3,0)</f>
        <v>187</v>
      </c>
      <c r="E569" s="187">
        <v>0.27210884353741499</v>
      </c>
      <c r="F569">
        <v>64.099999999999994</v>
      </c>
    </row>
    <row r="570" spans="1:6">
      <c r="A570">
        <v>3529</v>
      </c>
      <c r="B570" t="s">
        <v>340</v>
      </c>
      <c r="C570">
        <v>257.5</v>
      </c>
      <c r="D570">
        <f>VLOOKUP(A570,收盤價!A:C,3,0)</f>
        <v>327.5</v>
      </c>
      <c r="E570" s="187">
        <v>0.27184466019417475</v>
      </c>
      <c r="F570">
        <v>64.040000000000006</v>
      </c>
    </row>
    <row r="571" spans="1:6">
      <c r="A571">
        <v>8942</v>
      </c>
      <c r="B571" t="s">
        <v>1849</v>
      </c>
      <c r="C571">
        <v>72.5</v>
      </c>
      <c r="D571">
        <f>VLOOKUP(A571,收盤價!A:C,3,0)</f>
        <v>92.2</v>
      </c>
      <c r="E571" s="187">
        <v>0.2717241379310345</v>
      </c>
      <c r="F571">
        <v>63.97</v>
      </c>
    </row>
    <row r="572" spans="1:6">
      <c r="A572">
        <v>5701</v>
      </c>
      <c r="B572" t="s">
        <v>1698</v>
      </c>
      <c r="C572">
        <v>2.69</v>
      </c>
      <c r="D572">
        <f>VLOOKUP(A572,收盤價!A:C,3,0)</f>
        <v>3.42</v>
      </c>
      <c r="E572" s="187">
        <v>0.27137546468401486</v>
      </c>
      <c r="F572">
        <v>63.91</v>
      </c>
    </row>
    <row r="573" spans="1:6">
      <c r="A573">
        <v>8390</v>
      </c>
      <c r="B573" t="s">
        <v>1826</v>
      </c>
      <c r="C573">
        <v>11.8</v>
      </c>
      <c r="D573">
        <f>VLOOKUP(A573,收盤價!A:C,3,0)</f>
        <v>15</v>
      </c>
      <c r="E573" s="187">
        <v>0.27118644067796605</v>
      </c>
      <c r="F573">
        <v>63.85</v>
      </c>
    </row>
    <row r="574" spans="1:6">
      <c r="A574">
        <v>1907</v>
      </c>
      <c r="B574" t="s">
        <v>746</v>
      </c>
      <c r="C574">
        <v>8.6199999999999992</v>
      </c>
      <c r="D574">
        <f>VLOOKUP(A574,收盤價!A:C,3,0)</f>
        <v>10.95</v>
      </c>
      <c r="E574" s="187">
        <v>0.27030162412993042</v>
      </c>
      <c r="F574">
        <v>63.79</v>
      </c>
    </row>
    <row r="575" spans="1:6">
      <c r="A575">
        <v>6005</v>
      </c>
      <c r="B575" t="s">
        <v>1260</v>
      </c>
      <c r="C575">
        <v>7.66</v>
      </c>
      <c r="D575">
        <f>VLOOKUP(A575,收盤價!A:C,3,0)</f>
        <v>9.73</v>
      </c>
      <c r="E575" s="187">
        <v>0.27023498694516973</v>
      </c>
      <c r="F575">
        <v>63.72</v>
      </c>
    </row>
    <row r="576" spans="1:6">
      <c r="A576">
        <v>8048</v>
      </c>
      <c r="B576" t="s">
        <v>1786</v>
      </c>
      <c r="C576">
        <v>37.75</v>
      </c>
      <c r="D576">
        <f>VLOOKUP(A576,收盤價!A:C,3,0)</f>
        <v>47.95</v>
      </c>
      <c r="E576" s="187">
        <v>0.2701986754966888</v>
      </c>
      <c r="F576">
        <v>63.66</v>
      </c>
    </row>
    <row r="577" spans="1:6">
      <c r="A577">
        <v>2008</v>
      </c>
      <c r="B577" t="s">
        <v>752</v>
      </c>
      <c r="C577">
        <v>6.78</v>
      </c>
      <c r="D577">
        <f>VLOOKUP(A577,收盤價!A:C,3,0)</f>
        <v>8.61</v>
      </c>
      <c r="E577" s="187">
        <v>0.26991150442477863</v>
      </c>
      <c r="F577">
        <v>63.6</v>
      </c>
    </row>
    <row r="578" spans="1:6">
      <c r="A578">
        <v>2427</v>
      </c>
      <c r="B578" t="s">
        <v>883</v>
      </c>
      <c r="C578">
        <v>4.97</v>
      </c>
      <c r="D578">
        <f>VLOOKUP(A578,收盤價!A:C,3,0)</f>
        <v>6.31</v>
      </c>
      <c r="E578" s="187">
        <v>0.26961770623742454</v>
      </c>
      <c r="F578">
        <v>63.53</v>
      </c>
    </row>
    <row r="579" spans="1:6">
      <c r="A579">
        <v>1432</v>
      </c>
      <c r="B579" t="s">
        <v>607</v>
      </c>
      <c r="C579">
        <v>15.4</v>
      </c>
      <c r="D579">
        <f>VLOOKUP(A579,收盤價!A:C,3,0)</f>
        <v>19.55</v>
      </c>
      <c r="E579" s="187">
        <v>0.26948051948051949</v>
      </c>
      <c r="F579">
        <v>63.47</v>
      </c>
    </row>
    <row r="580" spans="1:6">
      <c r="A580">
        <v>2923</v>
      </c>
      <c r="B580" t="s">
        <v>1045</v>
      </c>
      <c r="C580">
        <v>18.95</v>
      </c>
      <c r="D580">
        <f>VLOOKUP(A580,收盤價!A:C,3,0)</f>
        <v>24.05</v>
      </c>
      <c r="E580" s="187">
        <v>0.26912928759894467</v>
      </c>
      <c r="F580">
        <v>63.41</v>
      </c>
    </row>
    <row r="581" spans="1:6">
      <c r="A581">
        <v>6409</v>
      </c>
      <c r="B581" t="s">
        <v>1321</v>
      </c>
      <c r="C581">
        <v>383</v>
      </c>
      <c r="D581">
        <f>VLOOKUP(A581,收盤價!A:C,3,0)</f>
        <v>486</v>
      </c>
      <c r="E581" s="187">
        <v>0.2689295039164491</v>
      </c>
      <c r="F581">
        <v>63.34</v>
      </c>
    </row>
    <row r="582" spans="1:6">
      <c r="A582">
        <v>8299</v>
      </c>
      <c r="B582" t="s">
        <v>1822</v>
      </c>
      <c r="C582">
        <v>201</v>
      </c>
      <c r="D582">
        <f>VLOOKUP(A582,收盤價!A:C,3,0)</f>
        <v>255</v>
      </c>
      <c r="E582" s="187">
        <v>0.26865671641791045</v>
      </c>
      <c r="F582">
        <v>63.28</v>
      </c>
    </row>
    <row r="583" spans="1:6">
      <c r="A583">
        <v>1323</v>
      </c>
      <c r="B583" t="s">
        <v>589</v>
      </c>
      <c r="C583">
        <v>21.45</v>
      </c>
      <c r="D583">
        <f>VLOOKUP(A583,收盤價!A:C,3,0)</f>
        <v>27.2</v>
      </c>
      <c r="E583" s="187">
        <v>0.26806526806526809</v>
      </c>
      <c r="F583">
        <v>63.22</v>
      </c>
    </row>
    <row r="584" spans="1:6">
      <c r="A584">
        <v>3306</v>
      </c>
      <c r="B584" t="s">
        <v>1505</v>
      </c>
      <c r="C584">
        <v>19.600000000000001</v>
      </c>
      <c r="D584">
        <f>VLOOKUP(A584,收盤價!A:C,3,0)</f>
        <v>24.85</v>
      </c>
      <c r="E584" s="187">
        <v>0.26785714285714285</v>
      </c>
      <c r="F584">
        <v>63.15</v>
      </c>
    </row>
    <row r="585" spans="1:6">
      <c r="A585">
        <v>5009</v>
      </c>
      <c r="B585" t="s">
        <v>402</v>
      </c>
      <c r="C585">
        <v>13.85</v>
      </c>
      <c r="D585">
        <f>VLOOKUP(A585,收盤價!A:C,3,0)</f>
        <v>17.55</v>
      </c>
      <c r="E585" s="187">
        <v>0.26714801444043329</v>
      </c>
      <c r="F585">
        <v>63.09</v>
      </c>
    </row>
    <row r="586" spans="1:6">
      <c r="A586">
        <v>8064</v>
      </c>
      <c r="B586" t="s">
        <v>503</v>
      </c>
      <c r="C586">
        <v>9</v>
      </c>
      <c r="D586">
        <f>VLOOKUP(A586,收盤價!A:C,3,0)</f>
        <v>11.4</v>
      </c>
      <c r="E586" s="187">
        <v>0.26666666666666672</v>
      </c>
      <c r="F586">
        <v>63.03</v>
      </c>
    </row>
    <row r="587" spans="1:6">
      <c r="A587">
        <v>3325</v>
      </c>
      <c r="B587" t="s">
        <v>1510</v>
      </c>
      <c r="C587">
        <v>11.3</v>
      </c>
      <c r="D587">
        <f>VLOOKUP(A587,收盤價!A:C,3,0)</f>
        <v>14.3</v>
      </c>
      <c r="E587" s="187">
        <v>0.26548672566371678</v>
      </c>
      <c r="F587">
        <v>62.97</v>
      </c>
    </row>
    <row r="588" spans="1:6">
      <c r="A588">
        <v>2344</v>
      </c>
      <c r="B588" t="s">
        <v>822</v>
      </c>
      <c r="C588">
        <v>6.14</v>
      </c>
      <c r="D588">
        <f>VLOOKUP(A588,收盤價!A:C,3,0)</f>
        <v>7.77</v>
      </c>
      <c r="E588" s="187">
        <v>0.26547231270358307</v>
      </c>
      <c r="F588">
        <v>62.9</v>
      </c>
    </row>
    <row r="589" spans="1:6">
      <c r="A589">
        <v>1463</v>
      </c>
      <c r="B589" t="s">
        <v>632</v>
      </c>
      <c r="C589">
        <v>13.75</v>
      </c>
      <c r="D589">
        <f>VLOOKUP(A589,收盤價!A:C,3,0)</f>
        <v>17.399999999999999</v>
      </c>
      <c r="E589" s="187">
        <v>0.26545454545454533</v>
      </c>
      <c r="F589">
        <v>62.84</v>
      </c>
    </row>
    <row r="590" spans="1:6">
      <c r="A590">
        <v>3522</v>
      </c>
      <c r="B590" t="s">
        <v>338</v>
      </c>
      <c r="C590">
        <v>8.11</v>
      </c>
      <c r="D590">
        <f>VLOOKUP(A590,收盤價!A:C,3,0)</f>
        <v>10.25</v>
      </c>
      <c r="E590" s="187">
        <v>0.26387176325524053</v>
      </c>
      <c r="F590">
        <v>62.78</v>
      </c>
    </row>
    <row r="591" spans="1:6">
      <c r="A591">
        <v>3029</v>
      </c>
      <c r="B591" t="s">
        <v>1069</v>
      </c>
      <c r="C591">
        <v>15.35</v>
      </c>
      <c r="D591">
        <f>VLOOKUP(A591,收盤價!A:C,3,0)</f>
        <v>19.399999999999999</v>
      </c>
      <c r="E591" s="187">
        <v>0.26384364820846901</v>
      </c>
      <c r="F591">
        <v>62.71</v>
      </c>
    </row>
    <row r="592" spans="1:6">
      <c r="A592">
        <v>4755</v>
      </c>
      <c r="B592" t="s">
        <v>1205</v>
      </c>
      <c r="C592">
        <v>19</v>
      </c>
      <c r="D592">
        <f>VLOOKUP(A592,收盤價!A:C,3,0)</f>
        <v>24</v>
      </c>
      <c r="E592" s="187">
        <v>0.26315789473684209</v>
      </c>
      <c r="F592">
        <v>62.65</v>
      </c>
    </row>
    <row r="593" spans="1:6">
      <c r="A593">
        <v>5410</v>
      </c>
      <c r="B593" t="s">
        <v>1673</v>
      </c>
      <c r="C593">
        <v>9.5</v>
      </c>
      <c r="D593">
        <f>VLOOKUP(A593,收盤價!A:C,3,0)</f>
        <v>12</v>
      </c>
      <c r="E593" s="187">
        <v>0.26315789473684209</v>
      </c>
      <c r="F593">
        <v>62.59</v>
      </c>
    </row>
    <row r="594" spans="1:6">
      <c r="A594">
        <v>1595</v>
      </c>
      <c r="B594" t="s">
        <v>1446</v>
      </c>
      <c r="C594">
        <v>47.2</v>
      </c>
      <c r="D594">
        <f>VLOOKUP(A594,收盤價!A:C,3,0)</f>
        <v>59.6</v>
      </c>
      <c r="E594" s="187">
        <v>0.26271186440677963</v>
      </c>
      <c r="F594">
        <v>62.52</v>
      </c>
    </row>
    <row r="595" spans="1:6">
      <c r="A595">
        <v>5263</v>
      </c>
      <c r="B595" t="s">
        <v>1648</v>
      </c>
      <c r="C595">
        <v>211.5</v>
      </c>
      <c r="D595">
        <f>VLOOKUP(A595,收盤價!A:C,3,0)</f>
        <v>267</v>
      </c>
      <c r="E595" s="187">
        <v>0.26241134751773049</v>
      </c>
      <c r="F595">
        <v>62.46</v>
      </c>
    </row>
    <row r="596" spans="1:6">
      <c r="A596">
        <v>3299</v>
      </c>
      <c r="B596" t="s">
        <v>316</v>
      </c>
      <c r="C596">
        <v>41.7</v>
      </c>
      <c r="D596">
        <f>VLOOKUP(A596,收盤價!A:C,3,0)</f>
        <v>52.6</v>
      </c>
      <c r="E596" s="187">
        <v>0.26139088729016779</v>
      </c>
      <c r="F596">
        <v>62.4</v>
      </c>
    </row>
    <row r="597" spans="1:6">
      <c r="A597">
        <v>9105</v>
      </c>
      <c r="B597" t="s">
        <v>1379</v>
      </c>
      <c r="C597">
        <v>2.68</v>
      </c>
      <c r="D597">
        <f>VLOOKUP(A597,收盤價!A:C,3,0)</f>
        <v>3.38</v>
      </c>
      <c r="E597" s="187">
        <v>0.26119402985074613</v>
      </c>
      <c r="F597">
        <v>62.33</v>
      </c>
    </row>
    <row r="598" spans="1:6">
      <c r="A598">
        <v>3005</v>
      </c>
      <c r="B598" t="s">
        <v>1050</v>
      </c>
      <c r="C598">
        <v>17.5</v>
      </c>
      <c r="D598">
        <f>VLOOKUP(A598,收盤價!A:C,3,0)</f>
        <v>22.05</v>
      </c>
      <c r="E598" s="187">
        <v>0.26000000000000006</v>
      </c>
      <c r="F598">
        <v>62.27</v>
      </c>
    </row>
    <row r="599" spans="1:6">
      <c r="A599">
        <v>3058</v>
      </c>
      <c r="B599" t="s">
        <v>1096</v>
      </c>
      <c r="C599">
        <v>7.2</v>
      </c>
      <c r="D599">
        <f>VLOOKUP(A599,收盤價!A:C,3,0)</f>
        <v>9.07</v>
      </c>
      <c r="E599" s="187">
        <v>0.25972222222222224</v>
      </c>
      <c r="F599">
        <v>62.21</v>
      </c>
    </row>
    <row r="600" spans="1:6">
      <c r="A600">
        <v>3305</v>
      </c>
      <c r="B600" t="s">
        <v>1113</v>
      </c>
      <c r="C600">
        <v>18.5</v>
      </c>
      <c r="D600">
        <f>VLOOKUP(A600,收盤價!A:C,3,0)</f>
        <v>23.3</v>
      </c>
      <c r="E600" s="187">
        <v>0.25945945945945947</v>
      </c>
      <c r="F600">
        <v>62.15</v>
      </c>
    </row>
    <row r="601" spans="1:6">
      <c r="A601">
        <v>5206</v>
      </c>
      <c r="B601" t="s">
        <v>406</v>
      </c>
      <c r="C601">
        <v>9.4499999999999993</v>
      </c>
      <c r="D601">
        <f>VLOOKUP(A601,收盤價!A:C,3,0)</f>
        <v>11.9</v>
      </c>
      <c r="E601" s="187">
        <v>0.25925925925925941</v>
      </c>
      <c r="F601">
        <v>62.08</v>
      </c>
    </row>
    <row r="602" spans="1:6">
      <c r="A602">
        <v>5871</v>
      </c>
      <c r="B602" t="s">
        <v>1256</v>
      </c>
      <c r="C602">
        <v>45.9</v>
      </c>
      <c r="D602">
        <f>VLOOKUP(A602,收盤價!A:C,3,0)</f>
        <v>57.8</v>
      </c>
      <c r="E602" s="187">
        <v>0.25925925925925924</v>
      </c>
      <c r="F602">
        <v>62.02</v>
      </c>
    </row>
    <row r="603" spans="1:6">
      <c r="A603">
        <v>1815</v>
      </c>
      <c r="B603" t="s">
        <v>1453</v>
      </c>
      <c r="C603">
        <v>8.82</v>
      </c>
      <c r="D603">
        <f>VLOOKUP(A603,收盤價!A:C,3,0)</f>
        <v>11.1</v>
      </c>
      <c r="E603" s="187">
        <v>0.25850340136054412</v>
      </c>
      <c r="F603">
        <v>61.96</v>
      </c>
    </row>
    <row r="604" spans="1:6">
      <c r="A604">
        <v>9955</v>
      </c>
      <c r="B604" t="s">
        <v>1435</v>
      </c>
      <c r="C604">
        <v>12</v>
      </c>
      <c r="D604">
        <f>VLOOKUP(A604,收盤價!A:C,3,0)</f>
        <v>15.1</v>
      </c>
      <c r="E604" s="187">
        <v>0.2583333333333333</v>
      </c>
      <c r="F604">
        <v>61.89</v>
      </c>
    </row>
    <row r="605" spans="1:6">
      <c r="A605">
        <v>6147</v>
      </c>
      <c r="B605" t="s">
        <v>1729</v>
      </c>
      <c r="C605">
        <v>40.85</v>
      </c>
      <c r="D605">
        <f>VLOOKUP(A605,收盤價!A:C,3,0)</f>
        <v>51.4</v>
      </c>
      <c r="E605" s="187">
        <v>0.25826193390452867</v>
      </c>
      <c r="F605">
        <v>61.83</v>
      </c>
    </row>
    <row r="606" spans="1:6">
      <c r="A606">
        <v>4974</v>
      </c>
      <c r="B606" t="s">
        <v>400</v>
      </c>
      <c r="C606">
        <v>33</v>
      </c>
      <c r="D606">
        <f>VLOOKUP(A606,收盤價!A:C,3,0)</f>
        <v>41.5</v>
      </c>
      <c r="E606" s="187">
        <v>0.25757575757575757</v>
      </c>
      <c r="F606">
        <v>61.77</v>
      </c>
    </row>
    <row r="607" spans="1:6">
      <c r="A607">
        <v>6115</v>
      </c>
      <c r="B607" t="s">
        <v>1263</v>
      </c>
      <c r="C607">
        <v>26.85</v>
      </c>
      <c r="D607">
        <f>VLOOKUP(A607,收盤價!A:C,3,0)</f>
        <v>33.75</v>
      </c>
      <c r="E607" s="187">
        <v>0.25698324022346364</v>
      </c>
      <c r="F607">
        <v>61.7</v>
      </c>
    </row>
    <row r="608" spans="1:6">
      <c r="A608">
        <v>2434</v>
      </c>
      <c r="B608" t="s">
        <v>889</v>
      </c>
      <c r="C608">
        <v>4.5599999999999996</v>
      </c>
      <c r="D608">
        <f>VLOOKUP(A608,收盤價!A:C,3,0)</f>
        <v>5.73</v>
      </c>
      <c r="E608" s="187">
        <v>0.25657894736842124</v>
      </c>
      <c r="F608">
        <v>61.64</v>
      </c>
    </row>
    <row r="609" spans="1:6">
      <c r="A609">
        <v>8076</v>
      </c>
      <c r="B609" t="s">
        <v>1795</v>
      </c>
      <c r="C609">
        <v>76</v>
      </c>
      <c r="D609">
        <f>VLOOKUP(A609,收盤價!A:C,3,0)</f>
        <v>95.5</v>
      </c>
      <c r="E609" s="187">
        <v>0.25657894736842107</v>
      </c>
      <c r="F609">
        <v>61.58</v>
      </c>
    </row>
    <row r="610" spans="1:6">
      <c r="A610">
        <v>3646</v>
      </c>
      <c r="B610" t="s">
        <v>1552</v>
      </c>
      <c r="C610">
        <v>10.35</v>
      </c>
      <c r="D610">
        <f>VLOOKUP(A610,收盤價!A:C,3,0)</f>
        <v>13</v>
      </c>
      <c r="E610" s="187">
        <v>0.2560386473429952</v>
      </c>
      <c r="F610">
        <v>61.51</v>
      </c>
    </row>
    <row r="611" spans="1:6">
      <c r="A611">
        <v>4728</v>
      </c>
      <c r="B611" t="s">
        <v>391</v>
      </c>
      <c r="C611">
        <v>23.3</v>
      </c>
      <c r="D611">
        <f>VLOOKUP(A611,收盤價!A:C,3,0)</f>
        <v>29.25</v>
      </c>
      <c r="E611" s="187">
        <v>0.25536480686695273</v>
      </c>
      <c r="F611">
        <v>61.45</v>
      </c>
    </row>
    <row r="612" spans="1:6">
      <c r="A612">
        <v>2301</v>
      </c>
      <c r="B612" t="s">
        <v>797</v>
      </c>
      <c r="C612">
        <v>28</v>
      </c>
      <c r="D612">
        <f>VLOOKUP(A612,收盤價!A:C,3,0)</f>
        <v>35.15</v>
      </c>
      <c r="E612" s="187">
        <v>0.25535714285714278</v>
      </c>
      <c r="F612">
        <v>61.39</v>
      </c>
    </row>
    <row r="613" spans="1:6">
      <c r="A613">
        <v>2115</v>
      </c>
      <c r="B613" t="s">
        <v>787</v>
      </c>
      <c r="C613">
        <v>35.700000000000003</v>
      </c>
      <c r="D613">
        <f>VLOOKUP(A613,收盤價!A:C,3,0)</f>
        <v>44.8</v>
      </c>
      <c r="E613" s="187">
        <v>0.25490196078431354</v>
      </c>
      <c r="F613">
        <v>61.32</v>
      </c>
    </row>
    <row r="614" spans="1:6">
      <c r="A614">
        <v>4153</v>
      </c>
      <c r="B614" t="s">
        <v>369</v>
      </c>
      <c r="C614">
        <v>63.7</v>
      </c>
      <c r="D614">
        <f>VLOOKUP(A614,收盤價!A:C,3,0)</f>
        <v>79.900000000000006</v>
      </c>
      <c r="E614" s="187">
        <v>0.25431711145996866</v>
      </c>
      <c r="F614">
        <v>61.26</v>
      </c>
    </row>
    <row r="615" spans="1:6">
      <c r="A615">
        <v>8249</v>
      </c>
      <c r="B615" t="s">
        <v>1360</v>
      </c>
      <c r="C615">
        <v>18.55</v>
      </c>
      <c r="D615">
        <f>VLOOKUP(A615,收盤價!A:C,3,0)</f>
        <v>23.25</v>
      </c>
      <c r="E615" s="187">
        <v>0.25336927223719674</v>
      </c>
      <c r="F615">
        <v>61.2</v>
      </c>
    </row>
    <row r="616" spans="1:6">
      <c r="A616">
        <v>1526</v>
      </c>
      <c r="B616" t="s">
        <v>662</v>
      </c>
      <c r="C616">
        <v>11.9</v>
      </c>
      <c r="D616">
        <f>VLOOKUP(A616,收盤價!A:C,3,0)</f>
        <v>14.9</v>
      </c>
      <c r="E616" s="187">
        <v>0.25210084033613445</v>
      </c>
      <c r="F616">
        <v>61.14</v>
      </c>
    </row>
    <row r="617" spans="1:6">
      <c r="A617">
        <v>1506</v>
      </c>
      <c r="B617" t="s">
        <v>649</v>
      </c>
      <c r="C617">
        <v>12.7</v>
      </c>
      <c r="D617">
        <f>VLOOKUP(A617,收盤價!A:C,3,0)</f>
        <v>15.9</v>
      </c>
      <c r="E617" s="187">
        <v>0.25196850393700798</v>
      </c>
      <c r="F617">
        <v>61.07</v>
      </c>
    </row>
    <row r="618" spans="1:6">
      <c r="A618">
        <v>2441</v>
      </c>
      <c r="B618" t="s">
        <v>895</v>
      </c>
      <c r="C618">
        <v>26.2</v>
      </c>
      <c r="D618">
        <f>VLOOKUP(A618,收盤價!A:C,3,0)</f>
        <v>32.799999999999997</v>
      </c>
      <c r="E618" s="187">
        <v>0.25190839694656481</v>
      </c>
      <c r="F618">
        <v>61.01</v>
      </c>
    </row>
    <row r="619" spans="1:6">
      <c r="A619">
        <v>2353</v>
      </c>
      <c r="B619" t="s">
        <v>829</v>
      </c>
      <c r="C619">
        <v>9.7100000000000009</v>
      </c>
      <c r="D619">
        <f>VLOOKUP(A619,收盤價!A:C,3,0)</f>
        <v>12.15</v>
      </c>
      <c r="E619" s="187">
        <v>0.25128733264675585</v>
      </c>
      <c r="F619">
        <v>60.95</v>
      </c>
    </row>
    <row r="620" spans="1:6">
      <c r="A620">
        <v>6191</v>
      </c>
      <c r="B620" t="s">
        <v>1288</v>
      </c>
      <c r="C620">
        <v>5.38</v>
      </c>
      <c r="D620">
        <f>VLOOKUP(A620,收盤價!A:C,3,0)</f>
        <v>6.73</v>
      </c>
      <c r="E620" s="187">
        <v>0.25092936802973986</v>
      </c>
      <c r="F620">
        <v>60.88</v>
      </c>
    </row>
    <row r="621" spans="1:6">
      <c r="A621">
        <v>3516</v>
      </c>
      <c r="B621" t="s">
        <v>337</v>
      </c>
      <c r="C621">
        <v>7.3</v>
      </c>
      <c r="D621">
        <f>VLOOKUP(A621,收盤價!A:C,3,0)</f>
        <v>9.1300000000000008</v>
      </c>
      <c r="E621" s="187">
        <v>0.25068493150684945</v>
      </c>
      <c r="F621">
        <v>60.82</v>
      </c>
    </row>
    <row r="622" spans="1:6">
      <c r="A622">
        <v>2850</v>
      </c>
      <c r="B622" t="s">
        <v>1013</v>
      </c>
      <c r="C622">
        <v>18.95</v>
      </c>
      <c r="D622">
        <f>VLOOKUP(A622,收盤價!A:C,3,0)</f>
        <v>23.7</v>
      </c>
      <c r="E622" s="187">
        <v>0.2506596306068602</v>
      </c>
      <c r="F622">
        <v>60.76</v>
      </c>
    </row>
    <row r="623" spans="1:6">
      <c r="A623">
        <v>8093</v>
      </c>
      <c r="B623" t="s">
        <v>1802</v>
      </c>
      <c r="C623">
        <v>4.5999999999999996</v>
      </c>
      <c r="D623">
        <f>VLOOKUP(A623,收盤價!A:C,3,0)</f>
        <v>5.75</v>
      </c>
      <c r="E623" s="187">
        <v>0.25000000000000011</v>
      </c>
      <c r="F623">
        <v>60.69</v>
      </c>
    </row>
    <row r="624" spans="1:6">
      <c r="A624">
        <v>4414</v>
      </c>
      <c r="B624" t="s">
        <v>1192</v>
      </c>
      <c r="C624">
        <v>15.2</v>
      </c>
      <c r="D624">
        <f>VLOOKUP(A624,收盤價!A:C,3,0)</f>
        <v>19</v>
      </c>
      <c r="E624" s="187">
        <v>0.25000000000000006</v>
      </c>
      <c r="F624">
        <v>60.63</v>
      </c>
    </row>
    <row r="625" spans="1:6">
      <c r="A625">
        <v>5491</v>
      </c>
      <c r="B625" t="s">
        <v>1686</v>
      </c>
      <c r="C625">
        <v>5.8</v>
      </c>
      <c r="D625">
        <f>VLOOKUP(A625,收盤價!A:C,3,0)</f>
        <v>7.25</v>
      </c>
      <c r="E625" s="187">
        <v>0.25000000000000006</v>
      </c>
      <c r="F625">
        <v>60.57</v>
      </c>
    </row>
    <row r="626" spans="1:6">
      <c r="A626">
        <v>1723</v>
      </c>
      <c r="B626" t="s">
        <v>716</v>
      </c>
      <c r="C626">
        <v>91.6</v>
      </c>
      <c r="D626">
        <f>VLOOKUP(A626,收盤價!A:C,3,0)</f>
        <v>114.5</v>
      </c>
      <c r="E626" s="187">
        <v>0.25000000000000006</v>
      </c>
      <c r="F626">
        <v>60.5</v>
      </c>
    </row>
    <row r="627" spans="1:6">
      <c r="A627">
        <v>4542</v>
      </c>
      <c r="B627" t="s">
        <v>383</v>
      </c>
      <c r="C627">
        <v>16.649999999999999</v>
      </c>
      <c r="D627">
        <f>VLOOKUP(A627,收盤價!A:C,3,0)</f>
        <v>20.8</v>
      </c>
      <c r="E627" s="187">
        <v>0.2492492492492494</v>
      </c>
      <c r="F627">
        <v>60.44</v>
      </c>
    </row>
    <row r="628" spans="1:6">
      <c r="A628">
        <v>3297</v>
      </c>
      <c r="B628" t="s">
        <v>315</v>
      </c>
      <c r="C628">
        <v>14.65</v>
      </c>
      <c r="D628">
        <f>VLOOKUP(A628,收盤價!A:C,3,0)</f>
        <v>18.3</v>
      </c>
      <c r="E628" s="187">
        <v>0.2491467576791809</v>
      </c>
      <c r="F628">
        <v>60.38</v>
      </c>
    </row>
    <row r="629" spans="1:6">
      <c r="A629">
        <v>3217</v>
      </c>
      <c r="B629" t="s">
        <v>1491</v>
      </c>
      <c r="C629">
        <v>10.25</v>
      </c>
      <c r="D629">
        <f>VLOOKUP(A629,收盤價!A:C,3,0)</f>
        <v>12.8</v>
      </c>
      <c r="E629" s="187">
        <v>0.24878048780487813</v>
      </c>
      <c r="F629">
        <v>60.32</v>
      </c>
    </row>
    <row r="630" spans="1:6">
      <c r="A630">
        <v>1795</v>
      </c>
      <c r="B630" t="s">
        <v>1452</v>
      </c>
      <c r="C630">
        <v>58.3</v>
      </c>
      <c r="D630">
        <f>VLOOKUP(A630,收盤價!A:C,3,0)</f>
        <v>72.8</v>
      </c>
      <c r="E630" s="187">
        <v>0.24871355060034306</v>
      </c>
      <c r="F630">
        <v>60.25</v>
      </c>
    </row>
    <row r="631" spans="1:6">
      <c r="A631">
        <v>6257</v>
      </c>
      <c r="B631" t="s">
        <v>1309</v>
      </c>
      <c r="C631">
        <v>18.7</v>
      </c>
      <c r="D631">
        <f>VLOOKUP(A631,收盤價!A:C,3,0)</f>
        <v>23.35</v>
      </c>
      <c r="E631" s="187">
        <v>0.24866310160427821</v>
      </c>
      <c r="F631">
        <v>60.19</v>
      </c>
    </row>
    <row r="632" spans="1:6">
      <c r="A632">
        <v>4513</v>
      </c>
      <c r="B632" t="s">
        <v>1602</v>
      </c>
      <c r="C632">
        <v>8.81</v>
      </c>
      <c r="D632">
        <f>VLOOKUP(A632,收盤價!A:C,3,0)</f>
        <v>11</v>
      </c>
      <c r="E632" s="187">
        <v>0.24858115777525533</v>
      </c>
      <c r="F632">
        <v>60.13</v>
      </c>
    </row>
    <row r="633" spans="1:6">
      <c r="A633">
        <v>1258</v>
      </c>
      <c r="B633" t="s">
        <v>1439</v>
      </c>
      <c r="C633">
        <v>33.35</v>
      </c>
      <c r="D633">
        <f>VLOOKUP(A633,收盤價!A:C,3,0)</f>
        <v>41.6</v>
      </c>
      <c r="E633" s="187">
        <v>0.24737631184407796</v>
      </c>
      <c r="F633">
        <v>60.06</v>
      </c>
    </row>
    <row r="634" spans="1:6">
      <c r="A634">
        <v>3163</v>
      </c>
      <c r="B634" t="s">
        <v>295</v>
      </c>
      <c r="C634">
        <v>27.1</v>
      </c>
      <c r="D634">
        <f>VLOOKUP(A634,收盤價!A:C,3,0)</f>
        <v>33.799999999999997</v>
      </c>
      <c r="E634" s="187">
        <v>0.24723247232472309</v>
      </c>
      <c r="F634">
        <v>60</v>
      </c>
    </row>
    <row r="635" spans="1:6">
      <c r="A635">
        <v>5529</v>
      </c>
      <c r="B635" t="s">
        <v>1694</v>
      </c>
      <c r="C635">
        <v>6.8</v>
      </c>
      <c r="D635">
        <f>VLOOKUP(A635,收盤價!A:C,3,0)</f>
        <v>8.48</v>
      </c>
      <c r="E635" s="187">
        <v>0.24705882352941186</v>
      </c>
      <c r="F635">
        <v>59.94</v>
      </c>
    </row>
    <row r="636" spans="1:6">
      <c r="A636">
        <v>5493</v>
      </c>
      <c r="B636" t="s">
        <v>1687</v>
      </c>
      <c r="C636">
        <v>28.15</v>
      </c>
      <c r="D636">
        <f>VLOOKUP(A636,收盤價!A:C,3,0)</f>
        <v>35.1</v>
      </c>
      <c r="E636" s="187">
        <v>0.246891651865009</v>
      </c>
      <c r="F636">
        <v>59.87</v>
      </c>
    </row>
    <row r="637" spans="1:6">
      <c r="A637">
        <v>2397</v>
      </c>
      <c r="B637" t="s">
        <v>862</v>
      </c>
      <c r="C637">
        <v>31.6</v>
      </c>
      <c r="D637">
        <f>VLOOKUP(A637,收盤價!A:C,3,0)</f>
        <v>39.4</v>
      </c>
      <c r="E637" s="187">
        <v>0.24683544303797458</v>
      </c>
      <c r="F637">
        <v>59.81</v>
      </c>
    </row>
    <row r="638" spans="1:6">
      <c r="A638">
        <v>3623</v>
      </c>
      <c r="B638" t="s">
        <v>352</v>
      </c>
      <c r="C638">
        <v>29.4</v>
      </c>
      <c r="D638">
        <f>VLOOKUP(A638,收盤價!A:C,3,0)</f>
        <v>36.65</v>
      </c>
      <c r="E638" s="187">
        <v>0.24659863945578234</v>
      </c>
      <c r="F638">
        <v>59.75</v>
      </c>
    </row>
    <row r="639" spans="1:6">
      <c r="A639">
        <v>1324</v>
      </c>
      <c r="B639" t="s">
        <v>590</v>
      </c>
      <c r="C639">
        <v>9.75</v>
      </c>
      <c r="D639">
        <f>VLOOKUP(A639,收盤價!A:C,3,0)</f>
        <v>12.15</v>
      </c>
      <c r="E639" s="187">
        <v>0.2461538461538462</v>
      </c>
      <c r="F639">
        <v>59.68</v>
      </c>
    </row>
    <row r="640" spans="1:6">
      <c r="A640">
        <v>2548</v>
      </c>
      <c r="B640" t="s">
        <v>967</v>
      </c>
      <c r="C640">
        <v>49.3</v>
      </c>
      <c r="D640">
        <f>VLOOKUP(A640,收盤價!A:C,3,0)</f>
        <v>61.4</v>
      </c>
      <c r="E640" s="187">
        <v>0.24543610547667347</v>
      </c>
      <c r="F640">
        <v>59.62</v>
      </c>
    </row>
    <row r="641" spans="1:6">
      <c r="A641">
        <v>1714</v>
      </c>
      <c r="B641" t="s">
        <v>709</v>
      </c>
      <c r="C641">
        <v>6.2</v>
      </c>
      <c r="D641">
        <f>VLOOKUP(A641,收盤價!A:C,3,0)</f>
        <v>7.72</v>
      </c>
      <c r="E641" s="187">
        <v>0.24516129032258058</v>
      </c>
      <c r="F641">
        <v>59.56</v>
      </c>
    </row>
    <row r="642" spans="1:6">
      <c r="A642">
        <v>2462</v>
      </c>
      <c r="B642" t="s">
        <v>912</v>
      </c>
      <c r="C642">
        <v>12.85</v>
      </c>
      <c r="D642">
        <f>VLOOKUP(A642,收盤價!A:C,3,0)</f>
        <v>16</v>
      </c>
      <c r="E642" s="187">
        <v>0.24513618677042806</v>
      </c>
      <c r="F642">
        <v>59.5</v>
      </c>
    </row>
    <row r="643" spans="1:6">
      <c r="A643">
        <v>8421</v>
      </c>
      <c r="B643" t="s">
        <v>518</v>
      </c>
      <c r="C643">
        <v>10.199999999999999</v>
      </c>
      <c r="D643">
        <f>VLOOKUP(A643,收盤價!A:C,3,0)</f>
        <v>12.7</v>
      </c>
      <c r="E643" s="187">
        <v>0.24509803921568629</v>
      </c>
      <c r="F643">
        <v>59.43</v>
      </c>
    </row>
    <row r="644" spans="1:6">
      <c r="A644">
        <v>3624</v>
      </c>
      <c r="B644" t="s">
        <v>353</v>
      </c>
      <c r="C644">
        <v>19.8</v>
      </c>
      <c r="D644">
        <f>VLOOKUP(A644,收盤價!A:C,3,0)</f>
        <v>24.65</v>
      </c>
      <c r="E644" s="187">
        <v>0.24494949494949483</v>
      </c>
      <c r="F644">
        <v>59.37</v>
      </c>
    </row>
    <row r="645" spans="1:6">
      <c r="A645">
        <v>6189</v>
      </c>
      <c r="B645" t="s">
        <v>1287</v>
      </c>
      <c r="C645">
        <v>24.4</v>
      </c>
      <c r="D645">
        <f>VLOOKUP(A645,收盤價!A:C,3,0)</f>
        <v>30.35</v>
      </c>
      <c r="E645" s="187">
        <v>0.24385245901639357</v>
      </c>
      <c r="F645">
        <v>59.31</v>
      </c>
    </row>
    <row r="646" spans="1:6">
      <c r="A646">
        <v>8111</v>
      </c>
      <c r="B646" t="s">
        <v>1807</v>
      </c>
      <c r="C646">
        <v>3.53</v>
      </c>
      <c r="D646">
        <f>VLOOKUP(A646,收盤價!A:C,3,0)</f>
        <v>4.3899999999999997</v>
      </c>
      <c r="E646" s="187">
        <v>0.24362606232294615</v>
      </c>
      <c r="F646">
        <v>59.24</v>
      </c>
    </row>
    <row r="647" spans="1:6">
      <c r="A647">
        <v>4991</v>
      </c>
      <c r="B647" t="s">
        <v>1636</v>
      </c>
      <c r="C647">
        <v>58.3</v>
      </c>
      <c r="D647">
        <f>VLOOKUP(A647,收盤價!A:C,3,0)</f>
        <v>72.5</v>
      </c>
      <c r="E647" s="187">
        <v>0.24356775300171532</v>
      </c>
      <c r="F647">
        <v>59.18</v>
      </c>
    </row>
    <row r="648" spans="1:6">
      <c r="A648">
        <v>3303</v>
      </c>
      <c r="B648" t="s">
        <v>317</v>
      </c>
      <c r="C648">
        <v>14.4</v>
      </c>
      <c r="D648">
        <f>VLOOKUP(A648,收盤價!A:C,3,0)</f>
        <v>17.899999999999999</v>
      </c>
      <c r="E648" s="187">
        <v>0.24305555555555541</v>
      </c>
      <c r="F648">
        <v>59.12</v>
      </c>
    </row>
    <row r="649" spans="1:6">
      <c r="A649">
        <v>1475</v>
      </c>
      <c r="B649" t="s">
        <v>644</v>
      </c>
      <c r="C649">
        <v>6.59</v>
      </c>
      <c r="D649">
        <f>VLOOKUP(A649,收盤價!A:C,3,0)</f>
        <v>8.19</v>
      </c>
      <c r="E649" s="187">
        <v>0.24279210925644912</v>
      </c>
      <c r="F649">
        <v>59.05</v>
      </c>
    </row>
    <row r="650" spans="1:6">
      <c r="A650">
        <v>3068</v>
      </c>
      <c r="B650" t="s">
        <v>285</v>
      </c>
      <c r="C650">
        <v>25.95</v>
      </c>
      <c r="D650">
        <f>VLOOKUP(A650,收盤價!A:C,3,0)</f>
        <v>32.25</v>
      </c>
      <c r="E650" s="187">
        <v>0.24277456647398848</v>
      </c>
      <c r="F650">
        <v>58.99</v>
      </c>
    </row>
    <row r="651" spans="1:6">
      <c r="A651">
        <v>5305</v>
      </c>
      <c r="B651" t="s">
        <v>1238</v>
      </c>
      <c r="C651">
        <v>16.899999999999999</v>
      </c>
      <c r="D651">
        <f>VLOOKUP(A651,收盤價!A:C,3,0)</f>
        <v>21</v>
      </c>
      <c r="E651" s="187">
        <v>0.24260355029585809</v>
      </c>
      <c r="F651">
        <v>58.93</v>
      </c>
    </row>
    <row r="652" spans="1:6">
      <c r="A652">
        <v>3520</v>
      </c>
      <c r="B652" t="s">
        <v>1529</v>
      </c>
      <c r="C652">
        <v>72</v>
      </c>
      <c r="D652">
        <f>VLOOKUP(A652,收盤價!A:C,3,0)</f>
        <v>89.4</v>
      </c>
      <c r="E652" s="187">
        <v>0.24166666666666675</v>
      </c>
      <c r="F652">
        <v>58.86</v>
      </c>
    </row>
    <row r="653" spans="1:6">
      <c r="A653">
        <v>1231</v>
      </c>
      <c r="B653" t="s">
        <v>566</v>
      </c>
      <c r="C653">
        <v>24</v>
      </c>
      <c r="D653">
        <f>VLOOKUP(A653,收盤價!A:C,3,0)</f>
        <v>29.8</v>
      </c>
      <c r="E653" s="187">
        <v>0.2416666666666667</v>
      </c>
      <c r="F653">
        <v>58.8</v>
      </c>
    </row>
    <row r="654" spans="1:6">
      <c r="A654">
        <v>8431</v>
      </c>
      <c r="B654" t="s">
        <v>520</v>
      </c>
      <c r="C654">
        <v>48.9</v>
      </c>
      <c r="D654">
        <f>VLOOKUP(A654,收盤價!A:C,3,0)</f>
        <v>60.7</v>
      </c>
      <c r="E654" s="187">
        <v>0.24130879345603282</v>
      </c>
      <c r="F654">
        <v>58.74</v>
      </c>
    </row>
    <row r="655" spans="1:6">
      <c r="A655">
        <v>4915</v>
      </c>
      <c r="B655" t="s">
        <v>1209</v>
      </c>
      <c r="C655">
        <v>34.5</v>
      </c>
      <c r="D655">
        <f>VLOOKUP(A655,收盤價!A:C,3,0)</f>
        <v>42.8</v>
      </c>
      <c r="E655" s="187">
        <v>0.24057971014492746</v>
      </c>
      <c r="F655">
        <v>58.68</v>
      </c>
    </row>
    <row r="656" spans="1:6">
      <c r="A656">
        <v>3206</v>
      </c>
      <c r="B656" t="s">
        <v>1488</v>
      </c>
      <c r="C656">
        <v>18.3</v>
      </c>
      <c r="D656">
        <f>VLOOKUP(A656,收盤價!A:C,3,0)</f>
        <v>22.7</v>
      </c>
      <c r="E656" s="187">
        <v>0.24043715846994526</v>
      </c>
      <c r="F656">
        <v>58.61</v>
      </c>
    </row>
    <row r="657" spans="1:6">
      <c r="A657">
        <v>3689</v>
      </c>
      <c r="B657" t="s">
        <v>1560</v>
      </c>
      <c r="C657">
        <v>28.3</v>
      </c>
      <c r="D657">
        <f>VLOOKUP(A657,收盤價!A:C,3,0)</f>
        <v>35.1</v>
      </c>
      <c r="E657" s="187">
        <v>0.24028268551236751</v>
      </c>
      <c r="F657">
        <v>58.55</v>
      </c>
    </row>
    <row r="658" spans="1:6">
      <c r="A658">
        <v>3022</v>
      </c>
      <c r="B658" t="s">
        <v>1062</v>
      </c>
      <c r="C658">
        <v>33.1</v>
      </c>
      <c r="D658">
        <f>VLOOKUP(A658,收盤價!A:C,3,0)</f>
        <v>41.05</v>
      </c>
      <c r="E658" s="187">
        <v>0.24018126888217509</v>
      </c>
      <c r="F658">
        <v>58.49</v>
      </c>
    </row>
    <row r="659" spans="1:6">
      <c r="A659">
        <v>5536</v>
      </c>
      <c r="B659" t="s">
        <v>445</v>
      </c>
      <c r="C659">
        <v>71.5</v>
      </c>
      <c r="D659">
        <f>VLOOKUP(A659,收盤價!A:C,3,0)</f>
        <v>88.6</v>
      </c>
      <c r="E659" s="187">
        <v>0.23916083916083908</v>
      </c>
      <c r="F659">
        <v>58.42</v>
      </c>
    </row>
    <row r="660" spans="1:6">
      <c r="A660">
        <v>3317</v>
      </c>
      <c r="B660" t="s">
        <v>1507</v>
      </c>
      <c r="C660">
        <v>9</v>
      </c>
      <c r="D660">
        <f>VLOOKUP(A660,收盤價!A:C,3,0)</f>
        <v>11.15</v>
      </c>
      <c r="E660" s="187">
        <v>0.23888888888888893</v>
      </c>
      <c r="F660">
        <v>58.36</v>
      </c>
    </row>
    <row r="661" spans="1:6">
      <c r="A661">
        <v>2856</v>
      </c>
      <c r="B661" t="s">
        <v>1017</v>
      </c>
      <c r="C661">
        <v>7.52</v>
      </c>
      <c r="D661">
        <f>VLOOKUP(A661,收盤價!A:C,3,0)</f>
        <v>9.31</v>
      </c>
      <c r="E661" s="187">
        <v>0.23803191489361716</v>
      </c>
      <c r="F661">
        <v>58.3</v>
      </c>
    </row>
    <row r="662" spans="1:6">
      <c r="A662">
        <v>4946</v>
      </c>
      <c r="B662" t="s">
        <v>1628</v>
      </c>
      <c r="C662">
        <v>29.2</v>
      </c>
      <c r="D662">
        <f>VLOOKUP(A662,收盤價!A:C,3,0)</f>
        <v>36.15</v>
      </c>
      <c r="E662" s="187">
        <v>0.23801369863013697</v>
      </c>
      <c r="F662">
        <v>58.23</v>
      </c>
    </row>
    <row r="663" spans="1:6">
      <c r="A663">
        <v>3257</v>
      </c>
      <c r="B663" t="s">
        <v>1110</v>
      </c>
      <c r="C663">
        <v>33</v>
      </c>
      <c r="D663">
        <f>VLOOKUP(A663,收盤價!A:C,3,0)</f>
        <v>40.85</v>
      </c>
      <c r="E663" s="187">
        <v>0.23787878787878791</v>
      </c>
      <c r="F663">
        <v>58.17</v>
      </c>
    </row>
    <row r="664" spans="1:6">
      <c r="A664">
        <v>3188</v>
      </c>
      <c r="B664" t="s">
        <v>297</v>
      </c>
      <c r="C664">
        <v>8.1999999999999993</v>
      </c>
      <c r="D664">
        <f>VLOOKUP(A664,收盤價!A:C,3,0)</f>
        <v>10.15</v>
      </c>
      <c r="E664" s="187">
        <v>0.23780487804878064</v>
      </c>
      <c r="F664">
        <v>58.11</v>
      </c>
    </row>
    <row r="665" spans="1:6">
      <c r="A665">
        <v>3260</v>
      </c>
      <c r="B665" t="s">
        <v>1497</v>
      </c>
      <c r="C665">
        <v>24.9</v>
      </c>
      <c r="D665">
        <f>VLOOKUP(A665,收盤價!A:C,3,0)</f>
        <v>30.8</v>
      </c>
      <c r="E665" s="187">
        <v>0.23694779116465872</v>
      </c>
      <c r="F665">
        <v>58.04</v>
      </c>
    </row>
    <row r="666" spans="1:6">
      <c r="A666">
        <v>2061</v>
      </c>
      <c r="B666" t="s">
        <v>274</v>
      </c>
      <c r="C666">
        <v>10.6</v>
      </c>
      <c r="D666">
        <f>VLOOKUP(A666,收盤價!A:C,3,0)</f>
        <v>13.1</v>
      </c>
      <c r="E666" s="187">
        <v>0.23584905660377359</v>
      </c>
      <c r="F666">
        <v>57.98</v>
      </c>
    </row>
    <row r="667" spans="1:6">
      <c r="A667">
        <v>3563</v>
      </c>
      <c r="B667" t="s">
        <v>348</v>
      </c>
      <c r="C667">
        <v>35.200000000000003</v>
      </c>
      <c r="D667">
        <f>VLOOKUP(A667,收盤價!A:C,3,0)</f>
        <v>43.5</v>
      </c>
      <c r="E667" s="187">
        <v>0.23579545454545445</v>
      </c>
      <c r="F667">
        <v>57.92</v>
      </c>
    </row>
    <row r="668" spans="1:6">
      <c r="A668">
        <v>4430</v>
      </c>
      <c r="B668" t="s">
        <v>1597</v>
      </c>
      <c r="C668">
        <v>23.15</v>
      </c>
      <c r="D668">
        <f>VLOOKUP(A668,收盤價!A:C,3,0)</f>
        <v>28.6</v>
      </c>
      <c r="E668" s="187">
        <v>0.2354211663066956</v>
      </c>
      <c r="F668">
        <v>57.85</v>
      </c>
    </row>
    <row r="669" spans="1:6">
      <c r="A669">
        <v>2393</v>
      </c>
      <c r="B669" t="s">
        <v>860</v>
      </c>
      <c r="C669">
        <v>35.950000000000003</v>
      </c>
      <c r="D669">
        <f>VLOOKUP(A669,收盤價!A:C,3,0)</f>
        <v>44.4</v>
      </c>
      <c r="E669" s="187">
        <v>0.23504867872044494</v>
      </c>
      <c r="F669">
        <v>57.79</v>
      </c>
    </row>
    <row r="670" spans="1:6">
      <c r="A670">
        <v>8289</v>
      </c>
      <c r="B670" t="s">
        <v>1820</v>
      </c>
      <c r="C670">
        <v>9.19</v>
      </c>
      <c r="D670">
        <f>VLOOKUP(A670,收盤價!A:C,3,0)</f>
        <v>11.35</v>
      </c>
      <c r="E670" s="187">
        <v>0.23503808487486402</v>
      </c>
      <c r="F670">
        <v>57.73</v>
      </c>
    </row>
    <row r="671" spans="1:6">
      <c r="A671">
        <v>2642</v>
      </c>
      <c r="B671" t="s">
        <v>987</v>
      </c>
      <c r="C671">
        <v>24.35</v>
      </c>
      <c r="D671">
        <f>VLOOKUP(A671,收盤價!A:C,3,0)</f>
        <v>30.05</v>
      </c>
      <c r="E671" s="187">
        <v>0.23408624229979461</v>
      </c>
      <c r="F671">
        <v>57.67</v>
      </c>
    </row>
    <row r="672" spans="1:6">
      <c r="A672">
        <v>3226</v>
      </c>
      <c r="B672" t="s">
        <v>301</v>
      </c>
      <c r="C672">
        <v>47</v>
      </c>
      <c r="D672">
        <f>VLOOKUP(A672,收盤價!A:C,3,0)</f>
        <v>58</v>
      </c>
      <c r="E672" s="187">
        <v>0.23404255319148937</v>
      </c>
      <c r="F672">
        <v>57.6</v>
      </c>
    </row>
    <row r="673" spans="1:6">
      <c r="A673">
        <v>2303</v>
      </c>
      <c r="B673" t="s">
        <v>799</v>
      </c>
      <c r="C673">
        <v>10.050000000000001</v>
      </c>
      <c r="D673">
        <f>VLOOKUP(A673,收盤價!A:C,3,0)</f>
        <v>12.4</v>
      </c>
      <c r="E673" s="187">
        <v>0.23383084577114421</v>
      </c>
      <c r="F673">
        <v>57.54</v>
      </c>
    </row>
    <row r="674" spans="1:6">
      <c r="A674">
        <v>2453</v>
      </c>
      <c r="B674" t="s">
        <v>903</v>
      </c>
      <c r="C674">
        <v>9</v>
      </c>
      <c r="D674">
        <f>VLOOKUP(A674,收盤價!A:C,3,0)</f>
        <v>11.1</v>
      </c>
      <c r="E674" s="187">
        <v>0.23333333333333328</v>
      </c>
      <c r="F674">
        <v>57.48</v>
      </c>
    </row>
    <row r="675" spans="1:6">
      <c r="A675">
        <v>3416</v>
      </c>
      <c r="B675" t="s">
        <v>1125</v>
      </c>
      <c r="C675">
        <v>47.2</v>
      </c>
      <c r="D675">
        <f>VLOOKUP(A675,收盤價!A:C,3,0)</f>
        <v>58.2</v>
      </c>
      <c r="E675" s="187">
        <v>0.23305084745762711</v>
      </c>
      <c r="F675">
        <v>57.41</v>
      </c>
    </row>
    <row r="676" spans="1:6">
      <c r="A676">
        <v>4420</v>
      </c>
      <c r="B676" t="s">
        <v>1596</v>
      </c>
      <c r="C676">
        <v>39.5</v>
      </c>
      <c r="D676">
        <f>VLOOKUP(A676,收盤價!A:C,3,0)</f>
        <v>48.7</v>
      </c>
      <c r="E676" s="187">
        <v>0.23291139240506337</v>
      </c>
      <c r="F676">
        <v>57.35</v>
      </c>
    </row>
    <row r="677" spans="1:6">
      <c r="A677">
        <v>4510</v>
      </c>
      <c r="B677" t="s">
        <v>1601</v>
      </c>
      <c r="C677">
        <v>14.2</v>
      </c>
      <c r="D677">
        <f>VLOOKUP(A677,收盤價!A:C,3,0)</f>
        <v>17.5</v>
      </c>
      <c r="E677" s="187">
        <v>0.23239436619718315</v>
      </c>
      <c r="F677">
        <v>57.29</v>
      </c>
    </row>
    <row r="678" spans="1:6">
      <c r="A678">
        <v>2332</v>
      </c>
      <c r="B678" t="s">
        <v>817</v>
      </c>
      <c r="C678">
        <v>8.36</v>
      </c>
      <c r="D678">
        <f>VLOOKUP(A678,收盤價!A:C,3,0)</f>
        <v>10.3</v>
      </c>
      <c r="E678" s="187">
        <v>0.23205741626794274</v>
      </c>
      <c r="F678">
        <v>57.22</v>
      </c>
    </row>
    <row r="679" spans="1:6">
      <c r="A679">
        <v>2534</v>
      </c>
      <c r="B679" t="s">
        <v>955</v>
      </c>
      <c r="C679">
        <v>13.6</v>
      </c>
      <c r="D679">
        <f>VLOOKUP(A679,收盤價!A:C,3,0)</f>
        <v>16.75</v>
      </c>
      <c r="E679" s="187">
        <v>0.23161764705882357</v>
      </c>
      <c r="F679">
        <v>57.16</v>
      </c>
    </row>
    <row r="680" spans="1:6">
      <c r="A680">
        <v>2355</v>
      </c>
      <c r="B680" t="s">
        <v>831</v>
      </c>
      <c r="C680">
        <v>40.6</v>
      </c>
      <c r="D680">
        <f>VLOOKUP(A680,收盤價!A:C,3,0)</f>
        <v>50</v>
      </c>
      <c r="E680" s="187">
        <v>0.23152709359605908</v>
      </c>
      <c r="F680">
        <v>57.1</v>
      </c>
    </row>
    <row r="681" spans="1:6">
      <c r="A681">
        <v>3494</v>
      </c>
      <c r="B681" t="s">
        <v>1134</v>
      </c>
      <c r="C681">
        <v>10.15</v>
      </c>
      <c r="D681">
        <f>VLOOKUP(A681,收盤價!A:C,3,0)</f>
        <v>12.5</v>
      </c>
      <c r="E681" s="187">
        <v>0.23152709359605908</v>
      </c>
      <c r="F681">
        <v>57.03</v>
      </c>
    </row>
    <row r="682" spans="1:6">
      <c r="A682">
        <v>8039</v>
      </c>
      <c r="B682" t="s">
        <v>1341</v>
      </c>
      <c r="C682">
        <v>31.15</v>
      </c>
      <c r="D682">
        <f>VLOOKUP(A682,收盤價!A:C,3,0)</f>
        <v>38.35</v>
      </c>
      <c r="E682" s="187">
        <v>0.23113964686998406</v>
      </c>
      <c r="F682">
        <v>56.97</v>
      </c>
    </row>
    <row r="683" spans="1:6">
      <c r="A683">
        <v>2316</v>
      </c>
      <c r="B683" t="s">
        <v>806</v>
      </c>
      <c r="C683">
        <v>22.55</v>
      </c>
      <c r="D683">
        <f>VLOOKUP(A683,收盤價!A:C,3,0)</f>
        <v>27.75</v>
      </c>
      <c r="E683" s="187">
        <v>0.23059866962305983</v>
      </c>
      <c r="F683">
        <v>56.91</v>
      </c>
    </row>
    <row r="684" spans="1:6">
      <c r="A684">
        <v>4908</v>
      </c>
      <c r="B684" t="s">
        <v>1625</v>
      </c>
      <c r="C684">
        <v>16.05</v>
      </c>
      <c r="D684">
        <f>VLOOKUP(A684,收盤價!A:C,3,0)</f>
        <v>19.75</v>
      </c>
      <c r="E684" s="187">
        <v>0.23052959501557627</v>
      </c>
      <c r="F684">
        <v>56.85</v>
      </c>
    </row>
    <row r="685" spans="1:6">
      <c r="A685">
        <v>1310</v>
      </c>
      <c r="B685" t="s">
        <v>580</v>
      </c>
      <c r="C685">
        <v>11.3</v>
      </c>
      <c r="D685">
        <f>VLOOKUP(A685,收盤價!A:C,3,0)</f>
        <v>13.9</v>
      </c>
      <c r="E685" s="187">
        <v>0.23008849557522118</v>
      </c>
      <c r="F685">
        <v>56.78</v>
      </c>
    </row>
    <row r="686" spans="1:6">
      <c r="A686">
        <v>4729</v>
      </c>
      <c r="B686" t="s">
        <v>392</v>
      </c>
      <c r="C686">
        <v>10.45</v>
      </c>
      <c r="D686">
        <f>VLOOKUP(A686,收盤價!A:C,3,0)</f>
        <v>12.85</v>
      </c>
      <c r="E686" s="187">
        <v>0.22966507177033499</v>
      </c>
      <c r="F686">
        <v>56.72</v>
      </c>
    </row>
    <row r="687" spans="1:6">
      <c r="A687">
        <v>4506</v>
      </c>
      <c r="B687" t="s">
        <v>382</v>
      </c>
      <c r="C687">
        <v>23.1</v>
      </c>
      <c r="D687">
        <f>VLOOKUP(A687,收盤價!A:C,3,0)</f>
        <v>28.4</v>
      </c>
      <c r="E687" s="187">
        <v>0.2294372294372293</v>
      </c>
      <c r="F687">
        <v>56.66</v>
      </c>
    </row>
    <row r="688" spans="1:6">
      <c r="A688">
        <v>8112</v>
      </c>
      <c r="B688" t="s">
        <v>1350</v>
      </c>
      <c r="C688">
        <v>10.9</v>
      </c>
      <c r="D688">
        <f>VLOOKUP(A688,收盤價!A:C,3,0)</f>
        <v>13.4</v>
      </c>
      <c r="E688" s="187">
        <v>0.2293577981651376</v>
      </c>
      <c r="F688">
        <v>56.59</v>
      </c>
    </row>
    <row r="689" spans="1:6">
      <c r="A689">
        <v>2314</v>
      </c>
      <c r="B689" t="s">
        <v>805</v>
      </c>
      <c r="C689">
        <v>6.98</v>
      </c>
      <c r="D689">
        <f>VLOOKUP(A689,收盤價!A:C,3,0)</f>
        <v>8.58</v>
      </c>
      <c r="E689" s="187">
        <v>0.22922636103151856</v>
      </c>
      <c r="F689">
        <v>56.53</v>
      </c>
    </row>
    <row r="690" spans="1:6">
      <c r="A690">
        <v>1521</v>
      </c>
      <c r="B690" t="s">
        <v>658</v>
      </c>
      <c r="C690">
        <v>67.7</v>
      </c>
      <c r="D690">
        <f>VLOOKUP(A690,收盤價!A:C,3,0)</f>
        <v>83.2</v>
      </c>
      <c r="E690" s="187">
        <v>0.22895125553914328</v>
      </c>
      <c r="F690">
        <v>56.47</v>
      </c>
    </row>
    <row r="691" spans="1:6">
      <c r="A691">
        <v>6123</v>
      </c>
      <c r="B691" t="s">
        <v>1719</v>
      </c>
      <c r="C691">
        <v>21</v>
      </c>
      <c r="D691">
        <f>VLOOKUP(A691,收盤價!A:C,3,0)</f>
        <v>25.8</v>
      </c>
      <c r="E691" s="187">
        <v>0.22857142857142859</v>
      </c>
      <c r="F691">
        <v>56.4</v>
      </c>
    </row>
    <row r="692" spans="1:6">
      <c r="A692">
        <v>6271</v>
      </c>
      <c r="B692" t="s">
        <v>1311</v>
      </c>
      <c r="C692">
        <v>66.599999999999994</v>
      </c>
      <c r="D692">
        <f>VLOOKUP(A692,收盤價!A:C,3,0)</f>
        <v>81.8</v>
      </c>
      <c r="E692" s="187">
        <v>0.2282282282282283</v>
      </c>
      <c r="F692">
        <v>56.34</v>
      </c>
    </row>
    <row r="693" spans="1:6">
      <c r="A693">
        <v>4541</v>
      </c>
      <c r="B693" t="s">
        <v>1611</v>
      </c>
      <c r="C693">
        <v>26.3</v>
      </c>
      <c r="D693">
        <f>VLOOKUP(A693,收盤價!A:C,3,0)</f>
        <v>32.299999999999997</v>
      </c>
      <c r="E693" s="187">
        <v>0.22813688212927744</v>
      </c>
      <c r="F693">
        <v>56.28</v>
      </c>
    </row>
    <row r="694" spans="1:6">
      <c r="A694">
        <v>911611</v>
      </c>
      <c r="B694" t="s">
        <v>1386</v>
      </c>
      <c r="C694">
        <v>0.88</v>
      </c>
      <c r="D694">
        <f>VLOOKUP(A694,收盤價!A:C,3,0)</f>
        <v>1.08</v>
      </c>
      <c r="E694" s="187">
        <v>0.22727272727272735</v>
      </c>
      <c r="F694">
        <v>56.21</v>
      </c>
    </row>
    <row r="695" spans="1:6">
      <c r="A695">
        <v>2102</v>
      </c>
      <c r="B695" t="s">
        <v>778</v>
      </c>
      <c r="C695">
        <v>12.35</v>
      </c>
      <c r="D695">
        <f>VLOOKUP(A695,收盤價!A:C,3,0)</f>
        <v>15.15</v>
      </c>
      <c r="E695" s="187">
        <v>0.22672064777327941</v>
      </c>
      <c r="F695">
        <v>56.15</v>
      </c>
    </row>
    <row r="696" spans="1:6">
      <c r="A696">
        <v>1528</v>
      </c>
      <c r="B696" t="s">
        <v>664</v>
      </c>
      <c r="C696">
        <v>7.6</v>
      </c>
      <c r="D696">
        <f>VLOOKUP(A696,收盤價!A:C,3,0)</f>
        <v>9.32</v>
      </c>
      <c r="E696" s="187">
        <v>0.2263157894736843</v>
      </c>
      <c r="F696">
        <v>56.09</v>
      </c>
    </row>
    <row r="697" spans="1:6">
      <c r="A697">
        <v>3122</v>
      </c>
      <c r="B697" t="s">
        <v>1479</v>
      </c>
      <c r="C697">
        <v>12.6</v>
      </c>
      <c r="D697">
        <f>VLOOKUP(A697,收盤價!A:C,3,0)</f>
        <v>15.45</v>
      </c>
      <c r="E697" s="187">
        <v>0.22619047619047616</v>
      </c>
      <c r="F697">
        <v>56.03</v>
      </c>
    </row>
    <row r="698" spans="1:6">
      <c r="A698">
        <v>2330</v>
      </c>
      <c r="B698" t="s">
        <v>815</v>
      </c>
      <c r="C698">
        <v>115</v>
      </c>
      <c r="D698">
        <f>VLOOKUP(A698,收盤價!A:C,3,0)</f>
        <v>141</v>
      </c>
      <c r="E698" s="187">
        <v>0.22608695652173913</v>
      </c>
      <c r="F698">
        <v>55.96</v>
      </c>
    </row>
    <row r="699" spans="1:6">
      <c r="A699">
        <v>1301</v>
      </c>
      <c r="B699" t="s">
        <v>573</v>
      </c>
      <c r="C699">
        <v>62</v>
      </c>
      <c r="D699">
        <f>VLOOKUP(A699,收盤價!A:C,3,0)</f>
        <v>76</v>
      </c>
      <c r="E699" s="187">
        <v>0.22580645161290322</v>
      </c>
      <c r="F699">
        <v>55.9</v>
      </c>
    </row>
    <row r="700" spans="1:6">
      <c r="A700">
        <v>3402</v>
      </c>
      <c r="B700" t="s">
        <v>1516</v>
      </c>
      <c r="C700">
        <v>11.3</v>
      </c>
      <c r="D700">
        <f>VLOOKUP(A700,收盤價!A:C,3,0)</f>
        <v>13.85</v>
      </c>
      <c r="E700" s="187">
        <v>0.22566371681415917</v>
      </c>
      <c r="F700">
        <v>55.84</v>
      </c>
    </row>
    <row r="701" spans="1:6">
      <c r="A701">
        <v>5484</v>
      </c>
      <c r="B701" t="s">
        <v>1243</v>
      </c>
      <c r="C701">
        <v>3.55</v>
      </c>
      <c r="D701">
        <f>VLOOKUP(A701,收盤價!A:C,3,0)</f>
        <v>4.3499999999999996</v>
      </c>
      <c r="E701" s="187">
        <v>0.22535211267605629</v>
      </c>
      <c r="F701">
        <v>55.77</v>
      </c>
    </row>
    <row r="702" spans="1:6">
      <c r="A702">
        <v>4939</v>
      </c>
      <c r="B702" t="s">
        <v>397</v>
      </c>
      <c r="C702">
        <v>6.53</v>
      </c>
      <c r="D702">
        <f>VLOOKUP(A702,收盤價!A:C,3,0)</f>
        <v>8</v>
      </c>
      <c r="E702" s="187">
        <v>0.22511485451761098</v>
      </c>
      <c r="F702">
        <v>55.71</v>
      </c>
    </row>
    <row r="703" spans="1:6">
      <c r="A703">
        <v>6214</v>
      </c>
      <c r="B703" t="s">
        <v>1298</v>
      </c>
      <c r="C703">
        <v>47.1</v>
      </c>
      <c r="D703">
        <f>VLOOKUP(A703,收盤價!A:C,3,0)</f>
        <v>57.7</v>
      </c>
      <c r="E703" s="187">
        <v>0.2250530785562633</v>
      </c>
      <c r="F703">
        <v>55.65</v>
      </c>
    </row>
    <row r="704" spans="1:6">
      <c r="A704">
        <v>1447</v>
      </c>
      <c r="B704" t="s">
        <v>621</v>
      </c>
      <c r="C704">
        <v>7.25</v>
      </c>
      <c r="D704">
        <f>VLOOKUP(A704,收盤價!A:C,3,0)</f>
        <v>8.8800000000000008</v>
      </c>
      <c r="E704" s="187">
        <v>0.22482758620689666</v>
      </c>
      <c r="F704">
        <v>55.58</v>
      </c>
    </row>
    <row r="705" spans="1:6">
      <c r="A705">
        <v>9914</v>
      </c>
      <c r="B705" t="s">
        <v>1409</v>
      </c>
      <c r="C705">
        <v>151.5</v>
      </c>
      <c r="D705">
        <f>VLOOKUP(A705,收盤價!A:C,3,0)</f>
        <v>185.5</v>
      </c>
      <c r="E705" s="187">
        <v>0.22442244224422442</v>
      </c>
      <c r="F705">
        <v>55.52</v>
      </c>
    </row>
    <row r="706" spans="1:6">
      <c r="A706">
        <v>2823</v>
      </c>
      <c r="B706" t="s">
        <v>1004</v>
      </c>
      <c r="C706">
        <v>21.9</v>
      </c>
      <c r="D706">
        <f>VLOOKUP(A706,收盤價!A:C,3,0)</f>
        <v>26.8</v>
      </c>
      <c r="E706" s="187">
        <v>0.22374429223744302</v>
      </c>
      <c r="F706">
        <v>55.46</v>
      </c>
    </row>
    <row r="707" spans="1:6">
      <c r="A707">
        <v>1321</v>
      </c>
      <c r="B707" t="s">
        <v>588</v>
      </c>
      <c r="C707">
        <v>22.9</v>
      </c>
      <c r="D707">
        <f>VLOOKUP(A707,收盤價!A:C,3,0)</f>
        <v>28</v>
      </c>
      <c r="E707" s="187">
        <v>0.2227074235807861</v>
      </c>
      <c r="F707">
        <v>55.39</v>
      </c>
    </row>
    <row r="708" spans="1:6">
      <c r="A708">
        <v>1517</v>
      </c>
      <c r="B708" t="s">
        <v>656</v>
      </c>
      <c r="C708">
        <v>9.94</v>
      </c>
      <c r="D708">
        <f>VLOOKUP(A708,收盤價!A:C,3,0)</f>
        <v>12.15</v>
      </c>
      <c r="E708" s="187">
        <v>0.22233400402414497</v>
      </c>
      <c r="F708">
        <v>55.33</v>
      </c>
    </row>
    <row r="709" spans="1:6">
      <c r="A709">
        <v>2338</v>
      </c>
      <c r="B709" t="s">
        <v>819</v>
      </c>
      <c r="C709">
        <v>6.3</v>
      </c>
      <c r="D709">
        <f>VLOOKUP(A709,收盤價!A:C,3,0)</f>
        <v>7.7</v>
      </c>
      <c r="E709" s="187">
        <v>0.22222222222222229</v>
      </c>
      <c r="F709">
        <v>55.27</v>
      </c>
    </row>
    <row r="710" spans="1:6">
      <c r="A710">
        <v>5312</v>
      </c>
      <c r="B710" t="s">
        <v>420</v>
      </c>
      <c r="C710">
        <v>67.5</v>
      </c>
      <c r="D710">
        <f>VLOOKUP(A710,收盤價!A:C,3,0)</f>
        <v>82.5</v>
      </c>
      <c r="E710" s="187">
        <v>0.22222222222222221</v>
      </c>
      <c r="F710">
        <v>55.21</v>
      </c>
    </row>
    <row r="711" spans="1:6">
      <c r="A711">
        <v>3141</v>
      </c>
      <c r="B711" t="s">
        <v>293</v>
      </c>
      <c r="C711">
        <v>15.55</v>
      </c>
      <c r="D711">
        <f>VLOOKUP(A711,收盤價!A:C,3,0)</f>
        <v>19</v>
      </c>
      <c r="E711" s="187">
        <v>0.22186495176848869</v>
      </c>
      <c r="F711">
        <v>55.14</v>
      </c>
    </row>
    <row r="712" spans="1:6">
      <c r="A712">
        <v>1308</v>
      </c>
      <c r="B712" t="s">
        <v>578</v>
      </c>
      <c r="C712">
        <v>14.65</v>
      </c>
      <c r="D712">
        <f>VLOOKUP(A712,收盤價!A:C,3,0)</f>
        <v>17.899999999999999</v>
      </c>
      <c r="E712" s="187">
        <v>0.22184300341296917</v>
      </c>
      <c r="F712">
        <v>55.08</v>
      </c>
    </row>
    <row r="713" spans="1:6">
      <c r="A713">
        <v>6148</v>
      </c>
      <c r="B713" t="s">
        <v>1730</v>
      </c>
      <c r="C713">
        <v>6.36</v>
      </c>
      <c r="D713">
        <f>VLOOKUP(A713,收盤價!A:C,3,0)</f>
        <v>7.77</v>
      </c>
      <c r="E713" s="187">
        <v>0.22169811320754704</v>
      </c>
      <c r="F713">
        <v>55.02</v>
      </c>
    </row>
    <row r="714" spans="1:6">
      <c r="A714">
        <v>2597</v>
      </c>
      <c r="B714" t="s">
        <v>968</v>
      </c>
      <c r="C714">
        <v>31.6</v>
      </c>
      <c r="D714">
        <f>VLOOKUP(A714,收盤價!A:C,3,0)</f>
        <v>38.6</v>
      </c>
      <c r="E714" s="187">
        <v>0.22151898734177214</v>
      </c>
      <c r="F714">
        <v>54.95</v>
      </c>
    </row>
    <row r="715" spans="1:6">
      <c r="A715">
        <v>9911</v>
      </c>
      <c r="B715" t="s">
        <v>1407</v>
      </c>
      <c r="C715">
        <v>14.9</v>
      </c>
      <c r="D715">
        <f>VLOOKUP(A715,收盤價!A:C,3,0)</f>
        <v>18.2</v>
      </c>
      <c r="E715" s="187">
        <v>0.22147651006711402</v>
      </c>
      <c r="F715">
        <v>54.89</v>
      </c>
    </row>
    <row r="716" spans="1:6">
      <c r="A716">
        <v>1806</v>
      </c>
      <c r="B716" t="s">
        <v>737</v>
      </c>
      <c r="C716">
        <v>5.76</v>
      </c>
      <c r="D716">
        <f>VLOOKUP(A716,收盤價!A:C,3,0)</f>
        <v>7.03</v>
      </c>
      <c r="E716" s="187">
        <v>0.22048611111111119</v>
      </c>
      <c r="F716">
        <v>54.83</v>
      </c>
    </row>
    <row r="717" spans="1:6">
      <c r="A717">
        <v>6187</v>
      </c>
      <c r="B717" t="s">
        <v>1740</v>
      </c>
      <c r="C717">
        <v>33.4</v>
      </c>
      <c r="D717">
        <f>VLOOKUP(A717,收盤價!A:C,3,0)</f>
        <v>40.75</v>
      </c>
      <c r="E717" s="187">
        <v>0.220059880239521</v>
      </c>
      <c r="F717">
        <v>54.76</v>
      </c>
    </row>
    <row r="718" spans="1:6">
      <c r="A718">
        <v>2371</v>
      </c>
      <c r="B718" t="s">
        <v>845</v>
      </c>
      <c r="C718">
        <v>4.59</v>
      </c>
      <c r="D718">
        <f>VLOOKUP(A718,收盤價!A:C,3,0)</f>
        <v>5.6</v>
      </c>
      <c r="E718" s="187">
        <v>0.22004357298474941</v>
      </c>
      <c r="F718">
        <v>54.7</v>
      </c>
    </row>
    <row r="719" spans="1:6">
      <c r="A719">
        <v>3528</v>
      </c>
      <c r="B719" t="s">
        <v>1533</v>
      </c>
      <c r="C719">
        <v>25.7</v>
      </c>
      <c r="D719">
        <f>VLOOKUP(A719,收盤價!A:C,3,0)</f>
        <v>31.35</v>
      </c>
      <c r="E719" s="187">
        <v>0.21984435797665378</v>
      </c>
      <c r="F719">
        <v>54.64</v>
      </c>
    </row>
    <row r="720" spans="1:6">
      <c r="A720">
        <v>3665</v>
      </c>
      <c r="B720" t="s">
        <v>1167</v>
      </c>
      <c r="C720">
        <v>116</v>
      </c>
      <c r="D720">
        <f>VLOOKUP(A720,收盤價!A:C,3,0)</f>
        <v>141.5</v>
      </c>
      <c r="E720" s="187">
        <v>0.21982758620689655</v>
      </c>
      <c r="F720">
        <v>54.57</v>
      </c>
    </row>
    <row r="721" spans="1:6">
      <c r="A721">
        <v>2477</v>
      </c>
      <c r="B721" t="s">
        <v>922</v>
      </c>
      <c r="C721">
        <v>10.25</v>
      </c>
      <c r="D721">
        <f>VLOOKUP(A721,收盤價!A:C,3,0)</f>
        <v>12.5</v>
      </c>
      <c r="E721" s="187">
        <v>0.21951219512195122</v>
      </c>
      <c r="F721">
        <v>54.51</v>
      </c>
    </row>
    <row r="722" spans="1:6">
      <c r="A722">
        <v>2103</v>
      </c>
      <c r="B722" t="s">
        <v>779</v>
      </c>
      <c r="C722">
        <v>18</v>
      </c>
      <c r="D722">
        <f>VLOOKUP(A722,收盤價!A:C,3,0)</f>
        <v>21.95</v>
      </c>
      <c r="E722" s="187">
        <v>0.21944444444444441</v>
      </c>
      <c r="F722">
        <v>54.45</v>
      </c>
    </row>
    <row r="723" spans="1:6">
      <c r="A723">
        <v>8070</v>
      </c>
      <c r="B723" t="s">
        <v>1343</v>
      </c>
      <c r="C723">
        <v>73.400000000000006</v>
      </c>
      <c r="D723">
        <f>VLOOKUP(A723,收盤價!A:C,3,0)</f>
        <v>89.5</v>
      </c>
      <c r="E723" s="187">
        <v>0.21934604904632143</v>
      </c>
      <c r="F723">
        <v>54.38</v>
      </c>
    </row>
    <row r="724" spans="1:6">
      <c r="A724">
        <v>4965</v>
      </c>
      <c r="B724" t="s">
        <v>399</v>
      </c>
      <c r="C724">
        <v>95.6</v>
      </c>
      <c r="D724">
        <f>VLOOKUP(A724,收盤價!A:C,3,0)</f>
        <v>116.5</v>
      </c>
      <c r="E724" s="187">
        <v>0.21861924686192477</v>
      </c>
      <c r="F724">
        <v>54.32</v>
      </c>
    </row>
    <row r="725" spans="1:6">
      <c r="A725">
        <v>2460</v>
      </c>
      <c r="B725" t="s">
        <v>910</v>
      </c>
      <c r="C725">
        <v>7.51</v>
      </c>
      <c r="D725">
        <f>VLOOKUP(A725,收盤價!A:C,3,0)</f>
        <v>9.15</v>
      </c>
      <c r="E725" s="187">
        <v>0.21837549933422112</v>
      </c>
      <c r="F725">
        <v>54.26</v>
      </c>
    </row>
    <row r="726" spans="1:6">
      <c r="A726">
        <v>3556</v>
      </c>
      <c r="B726" t="s">
        <v>345</v>
      </c>
      <c r="C726">
        <v>45.65</v>
      </c>
      <c r="D726">
        <f>VLOOKUP(A726,收盤價!A:C,3,0)</f>
        <v>55.6</v>
      </c>
      <c r="E726" s="187">
        <v>0.2179627601314349</v>
      </c>
      <c r="F726">
        <v>54.2</v>
      </c>
    </row>
    <row r="727" spans="1:6">
      <c r="A727">
        <v>4530</v>
      </c>
      <c r="B727" t="s">
        <v>1607</v>
      </c>
      <c r="C727">
        <v>3.9</v>
      </c>
      <c r="D727">
        <f>VLOOKUP(A727,收盤價!A:C,3,0)</f>
        <v>4.75</v>
      </c>
      <c r="E727" s="187">
        <v>0.21794871794871798</v>
      </c>
      <c r="F727">
        <v>54.13</v>
      </c>
    </row>
    <row r="728" spans="1:6">
      <c r="A728">
        <v>9924</v>
      </c>
      <c r="B728" t="s">
        <v>1414</v>
      </c>
      <c r="C728">
        <v>40.4</v>
      </c>
      <c r="D728">
        <f>VLOOKUP(A728,收盤價!A:C,3,0)</f>
        <v>49.2</v>
      </c>
      <c r="E728" s="187">
        <v>0.21782178217821793</v>
      </c>
      <c r="F728">
        <v>54.07</v>
      </c>
    </row>
    <row r="729" spans="1:6">
      <c r="A729">
        <v>1903</v>
      </c>
      <c r="B729" t="s">
        <v>743</v>
      </c>
      <c r="C729">
        <v>24.8</v>
      </c>
      <c r="D729">
        <f>VLOOKUP(A729,收盤價!A:C,3,0)</f>
        <v>30.2</v>
      </c>
      <c r="E729" s="187">
        <v>0.21774193548387091</v>
      </c>
      <c r="F729">
        <v>54.01</v>
      </c>
    </row>
    <row r="730" spans="1:6">
      <c r="A730">
        <v>6133</v>
      </c>
      <c r="B730" t="s">
        <v>1269</v>
      </c>
      <c r="C730">
        <v>9.1199999999999992</v>
      </c>
      <c r="D730">
        <f>VLOOKUP(A730,收盤價!A:C,3,0)</f>
        <v>11.1</v>
      </c>
      <c r="E730" s="187">
        <v>0.2171052631578948</v>
      </c>
      <c r="F730">
        <v>53.94</v>
      </c>
    </row>
    <row r="731" spans="1:6">
      <c r="A731">
        <v>3675</v>
      </c>
      <c r="B731" t="s">
        <v>1556</v>
      </c>
      <c r="C731">
        <v>18.899999999999999</v>
      </c>
      <c r="D731">
        <f>VLOOKUP(A731,收盤價!A:C,3,0)</f>
        <v>23</v>
      </c>
      <c r="E731" s="187">
        <v>0.21693121693121703</v>
      </c>
      <c r="F731">
        <v>53.88</v>
      </c>
    </row>
    <row r="732" spans="1:6">
      <c r="A732">
        <v>3577</v>
      </c>
      <c r="B732" t="s">
        <v>1543</v>
      </c>
      <c r="C732">
        <v>25.9</v>
      </c>
      <c r="D732">
        <f>VLOOKUP(A732,收盤價!A:C,3,0)</f>
        <v>31.5</v>
      </c>
      <c r="E732" s="187">
        <v>0.21621621621621628</v>
      </c>
      <c r="F732">
        <v>53.82</v>
      </c>
    </row>
    <row r="733" spans="1:6">
      <c r="A733">
        <v>6206</v>
      </c>
      <c r="B733" t="s">
        <v>1295</v>
      </c>
      <c r="C733">
        <v>81.599999999999994</v>
      </c>
      <c r="D733">
        <f>VLOOKUP(A733,收盤價!A:C,3,0)</f>
        <v>99.2</v>
      </c>
      <c r="E733" s="187">
        <v>0.21568627450980404</v>
      </c>
      <c r="F733">
        <v>53.75</v>
      </c>
    </row>
    <row r="734" spans="1:6">
      <c r="A734">
        <v>2114</v>
      </c>
      <c r="B734" t="s">
        <v>786</v>
      </c>
      <c r="C734">
        <v>64</v>
      </c>
      <c r="D734">
        <f>VLOOKUP(A734,收盤價!A:C,3,0)</f>
        <v>77.8</v>
      </c>
      <c r="E734" s="187">
        <v>0.21562499999999996</v>
      </c>
      <c r="F734">
        <v>53.69</v>
      </c>
    </row>
    <row r="735" spans="1:6">
      <c r="A735">
        <v>8043</v>
      </c>
      <c r="B735" t="s">
        <v>1783</v>
      </c>
      <c r="C735">
        <v>12.3</v>
      </c>
      <c r="D735">
        <f>VLOOKUP(A735,收盤價!A:C,3,0)</f>
        <v>14.95</v>
      </c>
      <c r="E735" s="187">
        <v>0.21544715447154458</v>
      </c>
      <c r="F735">
        <v>53.63</v>
      </c>
    </row>
    <row r="736" spans="1:6">
      <c r="A736">
        <v>2305</v>
      </c>
      <c r="B736" t="s">
        <v>800</v>
      </c>
      <c r="C736">
        <v>4.97</v>
      </c>
      <c r="D736">
        <f>VLOOKUP(A736,收盤價!A:C,3,0)</f>
        <v>6.04</v>
      </c>
      <c r="E736" s="187">
        <v>0.21529175050301819</v>
      </c>
      <c r="F736">
        <v>53.56</v>
      </c>
    </row>
    <row r="737" spans="1:6">
      <c r="A737">
        <v>1715</v>
      </c>
      <c r="B737" t="s">
        <v>710</v>
      </c>
      <c r="C737">
        <v>10</v>
      </c>
      <c r="D737">
        <f>VLOOKUP(A737,收盤價!A:C,3,0)</f>
        <v>12.15</v>
      </c>
      <c r="E737" s="187">
        <v>0.21500000000000002</v>
      </c>
      <c r="F737">
        <v>53.5</v>
      </c>
    </row>
    <row r="738" spans="1:6">
      <c r="A738">
        <v>6151</v>
      </c>
      <c r="B738" t="s">
        <v>1732</v>
      </c>
      <c r="C738">
        <v>18.149999999999999</v>
      </c>
      <c r="D738">
        <f>VLOOKUP(A738,收盤價!A:C,3,0)</f>
        <v>22.05</v>
      </c>
      <c r="E738" s="187">
        <v>0.21487603305785138</v>
      </c>
      <c r="F738">
        <v>53.44</v>
      </c>
    </row>
    <row r="739" spans="1:6">
      <c r="A739">
        <v>2231</v>
      </c>
      <c r="B739" t="s">
        <v>795</v>
      </c>
      <c r="C739">
        <v>320.5</v>
      </c>
      <c r="D739">
        <f>VLOOKUP(A739,收盤價!A:C,3,0)</f>
        <v>389</v>
      </c>
      <c r="E739" s="187">
        <v>0.21372854914196568</v>
      </c>
      <c r="F739">
        <v>53.38</v>
      </c>
    </row>
    <row r="740" spans="1:6">
      <c r="A740">
        <v>6289</v>
      </c>
      <c r="B740" t="s">
        <v>1319</v>
      </c>
      <c r="C740">
        <v>0.89</v>
      </c>
      <c r="D740">
        <f>VLOOKUP(A740,收盤價!A:C,3,0)</f>
        <v>1.08</v>
      </c>
      <c r="E740" s="187">
        <v>0.21348314606741578</v>
      </c>
      <c r="F740">
        <v>53.31</v>
      </c>
    </row>
    <row r="741" spans="1:6">
      <c r="A741">
        <v>4161</v>
      </c>
      <c r="B741" t="s">
        <v>1580</v>
      </c>
      <c r="C741">
        <v>58.1</v>
      </c>
      <c r="D741">
        <f>VLOOKUP(A741,收盤價!A:C,3,0)</f>
        <v>70.5</v>
      </c>
      <c r="E741" s="187">
        <v>0.21342512908777966</v>
      </c>
      <c r="F741">
        <v>53.25</v>
      </c>
    </row>
    <row r="742" spans="1:6">
      <c r="A742">
        <v>1225</v>
      </c>
      <c r="B742" t="s">
        <v>563</v>
      </c>
      <c r="C742">
        <v>20.2</v>
      </c>
      <c r="D742">
        <f>VLOOKUP(A742,收盤價!A:C,3,0)</f>
        <v>24.5</v>
      </c>
      <c r="E742" s="187">
        <v>0.21287128712871292</v>
      </c>
      <c r="F742">
        <v>53.19</v>
      </c>
    </row>
    <row r="743" spans="1:6">
      <c r="A743">
        <v>3033</v>
      </c>
      <c r="B743" t="s">
        <v>1073</v>
      </c>
      <c r="C743">
        <v>16</v>
      </c>
      <c r="D743">
        <f>VLOOKUP(A743,收盤價!A:C,3,0)</f>
        <v>19.399999999999999</v>
      </c>
      <c r="E743" s="187">
        <v>0.21249999999999991</v>
      </c>
      <c r="F743">
        <v>53.12</v>
      </c>
    </row>
    <row r="744" spans="1:6">
      <c r="A744">
        <v>3031</v>
      </c>
      <c r="B744" t="s">
        <v>1071</v>
      </c>
      <c r="C744">
        <v>8</v>
      </c>
      <c r="D744">
        <f>VLOOKUP(A744,收盤價!A:C,3,0)</f>
        <v>9.6999999999999993</v>
      </c>
      <c r="E744" s="187">
        <v>0.21249999999999991</v>
      </c>
      <c r="F744">
        <v>53.06</v>
      </c>
    </row>
    <row r="745" spans="1:6">
      <c r="A745">
        <v>6152</v>
      </c>
      <c r="B745" t="s">
        <v>1275</v>
      </c>
      <c r="C745">
        <v>5.9</v>
      </c>
      <c r="D745">
        <f>VLOOKUP(A745,收盤價!A:C,3,0)</f>
        <v>7.15</v>
      </c>
      <c r="E745" s="187">
        <v>0.21186440677966101</v>
      </c>
      <c r="F745">
        <v>53</v>
      </c>
    </row>
    <row r="746" spans="1:6">
      <c r="A746">
        <v>4103</v>
      </c>
      <c r="B746" t="s">
        <v>1563</v>
      </c>
      <c r="C746">
        <v>75.099999999999994</v>
      </c>
      <c r="D746">
        <f>VLOOKUP(A746,收盤價!A:C,3,0)</f>
        <v>91</v>
      </c>
      <c r="E746" s="187">
        <v>0.21171770972037293</v>
      </c>
      <c r="F746">
        <v>52.93</v>
      </c>
    </row>
    <row r="747" spans="1:6">
      <c r="A747">
        <v>1409</v>
      </c>
      <c r="B747" t="s">
        <v>598</v>
      </c>
      <c r="C747">
        <v>7.47</v>
      </c>
      <c r="D747">
        <f>VLOOKUP(A747,收盤價!A:C,3,0)</f>
        <v>9.0500000000000007</v>
      </c>
      <c r="E747" s="187">
        <v>0.21151271753681405</v>
      </c>
      <c r="F747">
        <v>52.87</v>
      </c>
    </row>
    <row r="748" spans="1:6">
      <c r="A748">
        <v>4528</v>
      </c>
      <c r="B748" t="s">
        <v>1605</v>
      </c>
      <c r="C748">
        <v>53.9</v>
      </c>
      <c r="D748">
        <f>VLOOKUP(A748,收盤價!A:C,3,0)</f>
        <v>65.3</v>
      </c>
      <c r="E748" s="187">
        <v>0.21150278293135433</v>
      </c>
      <c r="F748">
        <v>52.81</v>
      </c>
    </row>
    <row r="749" spans="1:6">
      <c r="A749">
        <v>5210</v>
      </c>
      <c r="B749" t="s">
        <v>407</v>
      </c>
      <c r="C749">
        <v>5.82</v>
      </c>
      <c r="D749">
        <f>VLOOKUP(A749,收盤價!A:C,3,0)</f>
        <v>7.05</v>
      </c>
      <c r="E749" s="187">
        <v>0.21134020618556693</v>
      </c>
      <c r="F749">
        <v>52.74</v>
      </c>
    </row>
    <row r="750" spans="1:6">
      <c r="A750">
        <v>8099</v>
      </c>
      <c r="B750" t="s">
        <v>1805</v>
      </c>
      <c r="C750">
        <v>14.5</v>
      </c>
      <c r="D750">
        <f>VLOOKUP(A750,收盤價!A:C,3,0)</f>
        <v>17.55</v>
      </c>
      <c r="E750" s="187">
        <v>0.21034482758620696</v>
      </c>
      <c r="F750">
        <v>52.68</v>
      </c>
    </row>
    <row r="751" spans="1:6">
      <c r="A751">
        <v>2325</v>
      </c>
      <c r="B751" t="s">
        <v>811</v>
      </c>
      <c r="C751">
        <v>36.85</v>
      </c>
      <c r="D751">
        <f>VLOOKUP(A751,收盤價!A:C,3,0)</f>
        <v>44.6</v>
      </c>
      <c r="E751" s="187">
        <v>0.21031207598371776</v>
      </c>
      <c r="F751">
        <v>52.62</v>
      </c>
    </row>
    <row r="752" spans="1:6">
      <c r="A752">
        <v>2337</v>
      </c>
      <c r="B752" t="s">
        <v>818</v>
      </c>
      <c r="C752">
        <v>3.95</v>
      </c>
      <c r="D752">
        <f>VLOOKUP(A752,收盤價!A:C,3,0)</f>
        <v>4.78</v>
      </c>
      <c r="E752" s="187">
        <v>0.21012658227848102</v>
      </c>
      <c r="F752">
        <v>52.56</v>
      </c>
    </row>
    <row r="753" spans="1:6">
      <c r="A753">
        <v>6278</v>
      </c>
      <c r="B753" t="s">
        <v>1313</v>
      </c>
      <c r="C753">
        <v>25.5</v>
      </c>
      <c r="D753">
        <f>VLOOKUP(A753,收盤價!A:C,3,0)</f>
        <v>30.85</v>
      </c>
      <c r="E753" s="187">
        <v>0.20980392156862751</v>
      </c>
      <c r="F753">
        <v>52.49</v>
      </c>
    </row>
    <row r="754" spans="1:6">
      <c r="A754">
        <v>2324</v>
      </c>
      <c r="B754" t="s">
        <v>810</v>
      </c>
      <c r="C754">
        <v>15.3</v>
      </c>
      <c r="D754">
        <f>VLOOKUP(A754,收盤價!A:C,3,0)</f>
        <v>18.5</v>
      </c>
      <c r="E754" s="187">
        <v>0.20915032679738557</v>
      </c>
      <c r="F754">
        <v>52.43</v>
      </c>
    </row>
    <row r="755" spans="1:6">
      <c r="A755">
        <v>6506</v>
      </c>
      <c r="B755" t="s">
        <v>1776</v>
      </c>
      <c r="C755">
        <v>15.55</v>
      </c>
      <c r="D755">
        <f>VLOOKUP(A755,收盤價!A:C,3,0)</f>
        <v>18.8</v>
      </c>
      <c r="E755" s="187">
        <v>0.20900321543408359</v>
      </c>
      <c r="F755">
        <v>52.37</v>
      </c>
    </row>
    <row r="756" spans="1:6">
      <c r="A756">
        <v>2495</v>
      </c>
      <c r="B756" t="s">
        <v>936</v>
      </c>
      <c r="C756">
        <v>11.75</v>
      </c>
      <c r="D756">
        <f>VLOOKUP(A756,收盤價!A:C,3,0)</f>
        <v>14.2</v>
      </c>
      <c r="E756" s="187">
        <v>0.20851063829787228</v>
      </c>
      <c r="F756">
        <v>52.3</v>
      </c>
    </row>
    <row r="757" spans="1:6">
      <c r="A757">
        <v>1215</v>
      </c>
      <c r="B757" t="s">
        <v>557</v>
      </c>
      <c r="C757">
        <v>18</v>
      </c>
      <c r="D757">
        <f>VLOOKUP(A757,收盤價!A:C,3,0)</f>
        <v>21.75</v>
      </c>
      <c r="E757" s="187">
        <v>0.20833333333333334</v>
      </c>
      <c r="F757">
        <v>52.24</v>
      </c>
    </row>
    <row r="758" spans="1:6">
      <c r="A758">
        <v>3490</v>
      </c>
      <c r="B758" t="s">
        <v>334</v>
      </c>
      <c r="C758">
        <v>66.400000000000006</v>
      </c>
      <c r="D758">
        <f>VLOOKUP(A758,收盤價!A:C,3,0)</f>
        <v>80.2</v>
      </c>
      <c r="E758" s="187">
        <v>0.20783132530120477</v>
      </c>
      <c r="F758">
        <v>52.18</v>
      </c>
    </row>
    <row r="759" spans="1:6">
      <c r="A759">
        <v>6194</v>
      </c>
      <c r="B759" t="s">
        <v>1742</v>
      </c>
      <c r="C759">
        <v>16.600000000000001</v>
      </c>
      <c r="D759">
        <f>VLOOKUP(A759,收盤價!A:C,3,0)</f>
        <v>20.05</v>
      </c>
      <c r="E759" s="187">
        <v>0.20783132530120477</v>
      </c>
      <c r="F759">
        <v>52.11</v>
      </c>
    </row>
    <row r="760" spans="1:6">
      <c r="A760">
        <v>2437</v>
      </c>
      <c r="B760" t="s">
        <v>891</v>
      </c>
      <c r="C760">
        <v>40.9</v>
      </c>
      <c r="D760">
        <f>VLOOKUP(A760,收盤價!A:C,3,0)</f>
        <v>49.4</v>
      </c>
      <c r="E760" s="187">
        <v>0.20782396088019561</v>
      </c>
      <c r="F760">
        <v>52.05</v>
      </c>
    </row>
    <row r="761" spans="1:6">
      <c r="A761">
        <v>8940</v>
      </c>
      <c r="B761" t="s">
        <v>1374</v>
      </c>
      <c r="C761">
        <v>13</v>
      </c>
      <c r="D761">
        <f>VLOOKUP(A761,收盤價!A:C,3,0)</f>
        <v>15.7</v>
      </c>
      <c r="E761" s="187">
        <v>0.20769230769230765</v>
      </c>
      <c r="F761">
        <v>51.99</v>
      </c>
    </row>
    <row r="762" spans="1:6">
      <c r="A762">
        <v>1507</v>
      </c>
      <c r="B762" t="s">
        <v>650</v>
      </c>
      <c r="C762">
        <v>42.9</v>
      </c>
      <c r="D762">
        <f>VLOOKUP(A762,收盤價!A:C,3,0)</f>
        <v>51.8</v>
      </c>
      <c r="E762" s="187">
        <v>0.20745920745920743</v>
      </c>
      <c r="F762">
        <v>51.92</v>
      </c>
    </row>
    <row r="763" spans="1:6">
      <c r="A763">
        <v>8033</v>
      </c>
      <c r="B763" t="s">
        <v>1340</v>
      </c>
      <c r="C763">
        <v>8.6999999999999993</v>
      </c>
      <c r="D763">
        <f>VLOOKUP(A763,收盤價!A:C,3,0)</f>
        <v>10.5</v>
      </c>
      <c r="E763" s="187">
        <v>0.20689655172413804</v>
      </c>
      <c r="F763">
        <v>51.86</v>
      </c>
    </row>
    <row r="764" spans="1:6">
      <c r="A764">
        <v>2480</v>
      </c>
      <c r="B764" t="s">
        <v>924</v>
      </c>
      <c r="C764">
        <v>20.8</v>
      </c>
      <c r="D764">
        <f>VLOOKUP(A764,收盤價!A:C,3,0)</f>
        <v>25.1</v>
      </c>
      <c r="E764" s="187">
        <v>0.20673076923076925</v>
      </c>
      <c r="F764">
        <v>51.8</v>
      </c>
    </row>
    <row r="765" spans="1:6">
      <c r="A765">
        <v>5530</v>
      </c>
      <c r="B765" t="s">
        <v>1695</v>
      </c>
      <c r="C765">
        <v>53.3</v>
      </c>
      <c r="D765">
        <f>VLOOKUP(A765,收盤價!A:C,3,0)</f>
        <v>64.3</v>
      </c>
      <c r="E765" s="187">
        <v>0.20637898686679176</v>
      </c>
      <c r="F765">
        <v>51.74</v>
      </c>
    </row>
    <row r="766" spans="1:6">
      <c r="A766">
        <v>8114</v>
      </c>
      <c r="B766" t="s">
        <v>1351</v>
      </c>
      <c r="C766">
        <v>136</v>
      </c>
      <c r="D766">
        <f>VLOOKUP(A766,收盤價!A:C,3,0)</f>
        <v>164</v>
      </c>
      <c r="E766" s="187">
        <v>0.20588235294117646</v>
      </c>
      <c r="F766">
        <v>51.67</v>
      </c>
    </row>
    <row r="767" spans="1:6">
      <c r="A767">
        <v>1742</v>
      </c>
      <c r="B767" t="s">
        <v>539</v>
      </c>
      <c r="C767">
        <v>10.45</v>
      </c>
      <c r="D767">
        <f>VLOOKUP(A767,收盤價!A:C,3,0)</f>
        <v>12.6</v>
      </c>
      <c r="E767" s="187">
        <v>0.20574162679425842</v>
      </c>
      <c r="F767">
        <v>51.61</v>
      </c>
    </row>
    <row r="768" spans="1:6">
      <c r="A768">
        <v>2459</v>
      </c>
      <c r="B768" t="s">
        <v>909</v>
      </c>
      <c r="C768">
        <v>27.95</v>
      </c>
      <c r="D768">
        <f>VLOOKUP(A768,收盤價!A:C,3,0)</f>
        <v>33.700000000000003</v>
      </c>
      <c r="E768" s="187">
        <v>0.20572450805008957</v>
      </c>
      <c r="F768">
        <v>51.55</v>
      </c>
    </row>
    <row r="769" spans="1:6">
      <c r="A769">
        <v>4720</v>
      </c>
      <c r="B769" t="s">
        <v>1199</v>
      </c>
      <c r="C769">
        <v>14.4</v>
      </c>
      <c r="D769">
        <f>VLOOKUP(A769,收盤價!A:C,3,0)</f>
        <v>17.350000000000001</v>
      </c>
      <c r="E769" s="187">
        <v>0.20486111111111119</v>
      </c>
      <c r="F769">
        <v>51.48</v>
      </c>
    </row>
    <row r="770" spans="1:6">
      <c r="A770">
        <v>4306</v>
      </c>
      <c r="B770" t="s">
        <v>1191</v>
      </c>
      <c r="C770">
        <v>11.8</v>
      </c>
      <c r="D770">
        <f>VLOOKUP(A770,收盤價!A:C,3,0)</f>
        <v>14.2</v>
      </c>
      <c r="E770" s="187">
        <v>0.20338983050847445</v>
      </c>
      <c r="F770">
        <v>51.42</v>
      </c>
    </row>
    <row r="771" spans="1:6">
      <c r="A771">
        <v>6155</v>
      </c>
      <c r="B771" t="s">
        <v>1277</v>
      </c>
      <c r="C771">
        <v>15</v>
      </c>
      <c r="D771">
        <f>VLOOKUP(A771,收盤價!A:C,3,0)</f>
        <v>18.05</v>
      </c>
      <c r="E771" s="187">
        <v>0.20333333333333339</v>
      </c>
      <c r="F771">
        <v>51.36</v>
      </c>
    </row>
    <row r="772" spans="1:6">
      <c r="A772">
        <v>2009</v>
      </c>
      <c r="B772" t="s">
        <v>753</v>
      </c>
      <c r="C772">
        <v>5.61</v>
      </c>
      <c r="D772">
        <f>VLOOKUP(A772,收盤價!A:C,3,0)</f>
        <v>6.75</v>
      </c>
      <c r="E772" s="187">
        <v>0.20320855614973254</v>
      </c>
      <c r="F772">
        <v>51.29</v>
      </c>
    </row>
    <row r="773" spans="1:6">
      <c r="A773">
        <v>8266</v>
      </c>
      <c r="B773" t="s">
        <v>1817</v>
      </c>
      <c r="C773">
        <v>27.85</v>
      </c>
      <c r="D773">
        <f>VLOOKUP(A773,收盤價!A:C,3,0)</f>
        <v>33.5</v>
      </c>
      <c r="E773" s="187">
        <v>0.20287253141831232</v>
      </c>
      <c r="F773">
        <v>51.23</v>
      </c>
    </row>
    <row r="774" spans="1:6">
      <c r="A774">
        <v>3093</v>
      </c>
      <c r="B774" t="s">
        <v>290</v>
      </c>
      <c r="C774">
        <v>24.9</v>
      </c>
      <c r="D774">
        <f>VLOOKUP(A774,收盤價!A:C,3,0)</f>
        <v>29.95</v>
      </c>
      <c r="E774" s="187">
        <v>0.20281124497991973</v>
      </c>
      <c r="F774">
        <v>51.17</v>
      </c>
    </row>
    <row r="775" spans="1:6">
      <c r="A775">
        <v>8374</v>
      </c>
      <c r="B775" t="s">
        <v>1364</v>
      </c>
      <c r="C775">
        <v>9.27</v>
      </c>
      <c r="D775">
        <f>VLOOKUP(A775,收盤價!A:C,3,0)</f>
        <v>11.15</v>
      </c>
      <c r="E775" s="187">
        <v>0.20280474649406699</v>
      </c>
      <c r="F775">
        <v>51.1</v>
      </c>
    </row>
    <row r="776" spans="1:6">
      <c r="A776">
        <v>3265</v>
      </c>
      <c r="B776" t="s">
        <v>308</v>
      </c>
      <c r="C776">
        <v>18.75</v>
      </c>
      <c r="D776">
        <f>VLOOKUP(A776,收盤價!A:C,3,0)</f>
        <v>22.55</v>
      </c>
      <c r="E776" s="187">
        <v>0.20266666666666672</v>
      </c>
      <c r="F776">
        <v>51.04</v>
      </c>
    </row>
    <row r="777" spans="1:6">
      <c r="A777">
        <v>1613</v>
      </c>
      <c r="B777" t="s">
        <v>692</v>
      </c>
      <c r="C777">
        <v>2.62</v>
      </c>
      <c r="D777">
        <f>VLOOKUP(A777,收盤價!A:C,3,0)</f>
        <v>3.15</v>
      </c>
      <c r="E777" s="187">
        <v>0.20229007633587778</v>
      </c>
      <c r="F777">
        <v>50.98</v>
      </c>
    </row>
    <row r="778" spans="1:6">
      <c r="A778">
        <v>6241</v>
      </c>
      <c r="B778" t="s">
        <v>482</v>
      </c>
      <c r="C778">
        <v>11.9</v>
      </c>
      <c r="D778">
        <f>VLOOKUP(A778,收盤價!A:C,3,0)</f>
        <v>14.3</v>
      </c>
      <c r="E778" s="187">
        <v>0.2016806722689076</v>
      </c>
      <c r="F778">
        <v>50.91</v>
      </c>
    </row>
    <row r="779" spans="1:6">
      <c r="A779">
        <v>2014</v>
      </c>
      <c r="B779" t="s">
        <v>757</v>
      </c>
      <c r="C779">
        <v>3.77</v>
      </c>
      <c r="D779">
        <f>VLOOKUP(A779,收盤價!A:C,3,0)</f>
        <v>4.53</v>
      </c>
      <c r="E779" s="187">
        <v>0.20159151193633959</v>
      </c>
      <c r="F779">
        <v>50.85</v>
      </c>
    </row>
    <row r="780" spans="1:6">
      <c r="A780">
        <v>2106</v>
      </c>
      <c r="B780" t="s">
        <v>782</v>
      </c>
      <c r="C780">
        <v>43.2</v>
      </c>
      <c r="D780">
        <f>VLOOKUP(A780,收盤價!A:C,3,0)</f>
        <v>51.9</v>
      </c>
      <c r="E780" s="187">
        <v>0.20138888888888878</v>
      </c>
      <c r="F780">
        <v>50.79</v>
      </c>
    </row>
    <row r="781" spans="1:6">
      <c r="A781">
        <v>3189</v>
      </c>
      <c r="B781" t="s">
        <v>1106</v>
      </c>
      <c r="C781">
        <v>51.2</v>
      </c>
      <c r="D781">
        <f>VLOOKUP(A781,收盤價!A:C,3,0)</f>
        <v>61.5</v>
      </c>
      <c r="E781" s="187">
        <v>0.20117187499999994</v>
      </c>
      <c r="F781">
        <v>50.73</v>
      </c>
    </row>
    <row r="782" spans="1:6">
      <c r="A782">
        <v>2401</v>
      </c>
      <c r="B782" t="s">
        <v>864</v>
      </c>
      <c r="C782">
        <v>9.9499999999999993</v>
      </c>
      <c r="D782">
        <f>VLOOKUP(A782,收盤價!A:C,3,0)</f>
        <v>11.95</v>
      </c>
      <c r="E782" s="187">
        <v>0.20100502512562815</v>
      </c>
      <c r="F782">
        <v>50.66</v>
      </c>
    </row>
    <row r="783" spans="1:6">
      <c r="A783">
        <v>2454</v>
      </c>
      <c r="B783" t="s">
        <v>904</v>
      </c>
      <c r="C783">
        <v>229</v>
      </c>
      <c r="D783">
        <f>VLOOKUP(A783,收盤價!A:C,3,0)</f>
        <v>275</v>
      </c>
      <c r="E783" s="187">
        <v>0.20087336244541484</v>
      </c>
      <c r="F783">
        <v>50.6</v>
      </c>
    </row>
    <row r="784" spans="1:6">
      <c r="A784">
        <v>6264</v>
      </c>
      <c r="B784" t="s">
        <v>489</v>
      </c>
      <c r="C784">
        <v>5.08</v>
      </c>
      <c r="D784">
        <f>VLOOKUP(A784,收盤價!A:C,3,0)</f>
        <v>6.1</v>
      </c>
      <c r="E784" s="187">
        <v>0.20078740157480307</v>
      </c>
      <c r="F784">
        <v>50.54</v>
      </c>
    </row>
    <row r="785" spans="1:6">
      <c r="A785">
        <v>1781</v>
      </c>
      <c r="B785" t="s">
        <v>1448</v>
      </c>
      <c r="C785">
        <v>21.95</v>
      </c>
      <c r="D785">
        <f>VLOOKUP(A785,收盤價!A:C,3,0)</f>
        <v>26.35</v>
      </c>
      <c r="E785" s="187">
        <v>0.20045558086560375</v>
      </c>
      <c r="F785">
        <v>50.47</v>
      </c>
    </row>
    <row r="786" spans="1:6">
      <c r="A786">
        <v>2505</v>
      </c>
      <c r="B786" t="s">
        <v>943</v>
      </c>
      <c r="C786">
        <v>9.2899999999999991</v>
      </c>
      <c r="D786">
        <f>VLOOKUP(A786,收盤價!A:C,3,0)</f>
        <v>11.15</v>
      </c>
      <c r="E786" s="187">
        <v>0.20021528525296031</v>
      </c>
      <c r="F786">
        <v>50.41</v>
      </c>
    </row>
    <row r="787" spans="1:6">
      <c r="A787">
        <v>1809</v>
      </c>
      <c r="B787" t="s">
        <v>739</v>
      </c>
      <c r="C787">
        <v>8.5</v>
      </c>
      <c r="D787">
        <f>VLOOKUP(A787,收盤價!A:C,3,0)</f>
        <v>10.199999999999999</v>
      </c>
      <c r="E787" s="187">
        <v>0.19999999999999993</v>
      </c>
      <c r="F787">
        <v>50.35</v>
      </c>
    </row>
    <row r="788" spans="1:6">
      <c r="A788">
        <v>1611</v>
      </c>
      <c r="B788" t="s">
        <v>690</v>
      </c>
      <c r="C788">
        <v>6.44</v>
      </c>
      <c r="D788">
        <f>VLOOKUP(A788,收盤價!A:C,3,0)</f>
        <v>7.72</v>
      </c>
      <c r="E788" s="187">
        <v>0.19875776397515516</v>
      </c>
      <c r="F788">
        <v>50.28</v>
      </c>
    </row>
    <row r="789" spans="1:6">
      <c r="A789">
        <v>2726</v>
      </c>
      <c r="B789" t="s">
        <v>1462</v>
      </c>
      <c r="C789">
        <v>48</v>
      </c>
      <c r="D789">
        <f>VLOOKUP(A789,收盤價!A:C,3,0)</f>
        <v>57.5</v>
      </c>
      <c r="E789" s="187">
        <v>0.19791666666666666</v>
      </c>
      <c r="F789">
        <v>50.22</v>
      </c>
    </row>
    <row r="790" spans="1:6">
      <c r="A790">
        <v>4958</v>
      </c>
      <c r="B790" t="s">
        <v>1220</v>
      </c>
      <c r="C790">
        <v>79.400000000000006</v>
      </c>
      <c r="D790">
        <f>VLOOKUP(A790,收盤價!A:C,3,0)</f>
        <v>95.1</v>
      </c>
      <c r="E790" s="187">
        <v>0.19773299748110815</v>
      </c>
      <c r="F790">
        <v>50.16</v>
      </c>
    </row>
    <row r="791" spans="1:6">
      <c r="A791">
        <v>4707</v>
      </c>
      <c r="B791" t="s">
        <v>387</v>
      </c>
      <c r="C791">
        <v>7.3</v>
      </c>
      <c r="D791">
        <f>VLOOKUP(A791,收盤價!A:C,3,0)</f>
        <v>8.74</v>
      </c>
      <c r="E791" s="187">
        <v>0.19726027397260279</v>
      </c>
      <c r="F791">
        <v>50.09</v>
      </c>
    </row>
    <row r="792" spans="1:6">
      <c r="A792">
        <v>1304</v>
      </c>
      <c r="B792" t="s">
        <v>575</v>
      </c>
      <c r="C792">
        <v>10.9</v>
      </c>
      <c r="D792">
        <f>VLOOKUP(A792,收盤價!A:C,3,0)</f>
        <v>13.05</v>
      </c>
      <c r="E792" s="187">
        <v>0.19724770642201839</v>
      </c>
      <c r="F792">
        <v>50.03</v>
      </c>
    </row>
    <row r="793" spans="1:6">
      <c r="A793">
        <v>8938</v>
      </c>
      <c r="B793" t="s">
        <v>534</v>
      </c>
      <c r="C793">
        <v>17</v>
      </c>
      <c r="D793">
        <f>VLOOKUP(A793,收盤價!A:C,3,0)</f>
        <v>20.350000000000001</v>
      </c>
      <c r="E793" s="187">
        <v>0.19705882352941184</v>
      </c>
      <c r="F793">
        <v>49.97</v>
      </c>
    </row>
    <row r="794" spans="1:6">
      <c r="A794">
        <v>3025</v>
      </c>
      <c r="B794" t="s">
        <v>1065</v>
      </c>
      <c r="C794">
        <v>6.77</v>
      </c>
      <c r="D794">
        <f>VLOOKUP(A794,收盤價!A:C,3,0)</f>
        <v>8.1</v>
      </c>
      <c r="E794" s="187">
        <v>0.19645494830132942</v>
      </c>
      <c r="F794">
        <v>49.91</v>
      </c>
    </row>
    <row r="795" spans="1:6">
      <c r="A795">
        <v>4527</v>
      </c>
      <c r="B795" t="s">
        <v>1604</v>
      </c>
      <c r="C795">
        <v>18.850000000000001</v>
      </c>
      <c r="D795">
        <f>VLOOKUP(A795,收盤價!A:C,3,0)</f>
        <v>22.55</v>
      </c>
      <c r="E795" s="187">
        <v>0.19628647214854106</v>
      </c>
      <c r="F795">
        <v>49.84</v>
      </c>
    </row>
    <row r="796" spans="1:6">
      <c r="A796">
        <v>3707</v>
      </c>
      <c r="B796" t="s">
        <v>363</v>
      </c>
      <c r="C796">
        <v>6.93</v>
      </c>
      <c r="D796">
        <f>VLOOKUP(A796,收盤價!A:C,3,0)</f>
        <v>8.2899999999999991</v>
      </c>
      <c r="E796" s="187">
        <v>0.19624819624819617</v>
      </c>
      <c r="F796">
        <v>49.78</v>
      </c>
    </row>
    <row r="797" spans="1:6">
      <c r="A797">
        <v>2034</v>
      </c>
      <c r="B797" t="s">
        <v>772</v>
      </c>
      <c r="C797">
        <v>15.8</v>
      </c>
      <c r="D797">
        <f>VLOOKUP(A797,收盤價!A:C,3,0)</f>
        <v>18.899999999999999</v>
      </c>
      <c r="E797" s="187">
        <v>0.19620253164556947</v>
      </c>
      <c r="F797">
        <v>49.72</v>
      </c>
    </row>
    <row r="798" spans="1:6">
      <c r="A798">
        <v>5016</v>
      </c>
      <c r="B798" t="s">
        <v>1640</v>
      </c>
      <c r="C798">
        <v>19.899999999999999</v>
      </c>
      <c r="D798">
        <f>VLOOKUP(A798,收盤價!A:C,3,0)</f>
        <v>23.8</v>
      </c>
      <c r="E798" s="187">
        <v>0.19597989949748756</v>
      </c>
      <c r="F798">
        <v>49.65</v>
      </c>
    </row>
    <row r="799" spans="1:6">
      <c r="A799">
        <v>1810</v>
      </c>
      <c r="B799" t="s">
        <v>740</v>
      </c>
      <c r="C799">
        <v>6.9</v>
      </c>
      <c r="D799">
        <f>VLOOKUP(A799,收盤價!A:C,3,0)</f>
        <v>8.25</v>
      </c>
      <c r="E799" s="187">
        <v>0.1956521739130434</v>
      </c>
      <c r="F799">
        <v>49.59</v>
      </c>
    </row>
    <row r="800" spans="1:6">
      <c r="A800">
        <v>6269</v>
      </c>
      <c r="B800" t="s">
        <v>1310</v>
      </c>
      <c r="C800">
        <v>79.3</v>
      </c>
      <c r="D800">
        <f>VLOOKUP(A800,收盤價!A:C,3,0)</f>
        <v>94.8</v>
      </c>
      <c r="E800" s="187">
        <v>0.19546027742749056</v>
      </c>
      <c r="F800">
        <v>49.53</v>
      </c>
    </row>
    <row r="801" spans="1:6">
      <c r="A801">
        <v>2634</v>
      </c>
      <c r="B801" t="s">
        <v>985</v>
      </c>
      <c r="C801">
        <v>34.799999999999997</v>
      </c>
      <c r="D801">
        <f>VLOOKUP(A801,收盤價!A:C,3,0)</f>
        <v>41.6</v>
      </c>
      <c r="E801" s="187">
        <v>0.19540229885057486</v>
      </c>
      <c r="F801">
        <v>49.46</v>
      </c>
    </row>
    <row r="802" spans="1:6">
      <c r="A802">
        <v>3042</v>
      </c>
      <c r="B802" t="s">
        <v>1081</v>
      </c>
      <c r="C802">
        <v>30</v>
      </c>
      <c r="D802">
        <f>VLOOKUP(A802,收盤價!A:C,3,0)</f>
        <v>35.85</v>
      </c>
      <c r="E802" s="187">
        <v>0.19500000000000003</v>
      </c>
      <c r="F802">
        <v>49.4</v>
      </c>
    </row>
    <row r="803" spans="1:6">
      <c r="A803">
        <v>2066</v>
      </c>
      <c r="B803" t="s">
        <v>277</v>
      </c>
      <c r="C803">
        <v>99.6</v>
      </c>
      <c r="D803">
        <f>VLOOKUP(A803,收盤價!A:C,3,0)</f>
        <v>119</v>
      </c>
      <c r="E803" s="187">
        <v>0.19477911646586352</v>
      </c>
      <c r="F803">
        <v>49.34</v>
      </c>
    </row>
    <row r="804" spans="1:6">
      <c r="A804">
        <v>6105</v>
      </c>
      <c r="B804" t="s">
        <v>1711</v>
      </c>
      <c r="C804">
        <v>37.5</v>
      </c>
      <c r="D804">
        <f>VLOOKUP(A804,收盤價!A:C,3,0)</f>
        <v>44.8</v>
      </c>
      <c r="E804" s="187">
        <v>0.1946666666666666</v>
      </c>
      <c r="F804">
        <v>49.27</v>
      </c>
    </row>
    <row r="805" spans="1:6">
      <c r="A805">
        <v>1732</v>
      </c>
      <c r="B805" t="s">
        <v>724</v>
      </c>
      <c r="C805">
        <v>11.05</v>
      </c>
      <c r="D805">
        <f>VLOOKUP(A805,收盤價!A:C,3,0)</f>
        <v>13.2</v>
      </c>
      <c r="E805" s="187">
        <v>0.1945701357466062</v>
      </c>
      <c r="F805">
        <v>49.21</v>
      </c>
    </row>
    <row r="806" spans="1:6">
      <c r="A806">
        <v>5531</v>
      </c>
      <c r="B806" t="s">
        <v>1249</v>
      </c>
      <c r="C806">
        <v>9.6300000000000008</v>
      </c>
      <c r="D806">
        <f>VLOOKUP(A806,收盤價!A:C,3,0)</f>
        <v>11.5</v>
      </c>
      <c r="E806" s="187">
        <v>0.19418483904465203</v>
      </c>
      <c r="F806">
        <v>49.15</v>
      </c>
    </row>
    <row r="807" spans="1:6">
      <c r="A807">
        <v>6234</v>
      </c>
      <c r="B807" t="s">
        <v>479</v>
      </c>
      <c r="C807">
        <v>16.55</v>
      </c>
      <c r="D807">
        <f>VLOOKUP(A807,收盤價!A:C,3,0)</f>
        <v>19.75</v>
      </c>
      <c r="E807" s="187">
        <v>0.19335347432024164</v>
      </c>
      <c r="F807">
        <v>49.09</v>
      </c>
    </row>
    <row r="808" spans="1:6">
      <c r="A808">
        <v>3567</v>
      </c>
      <c r="B808" t="s">
        <v>1541</v>
      </c>
      <c r="C808">
        <v>10.1</v>
      </c>
      <c r="D808">
        <f>VLOOKUP(A808,收盤價!A:C,3,0)</f>
        <v>12.05</v>
      </c>
      <c r="E808" s="187">
        <v>0.19306930693069319</v>
      </c>
      <c r="F808">
        <v>49.02</v>
      </c>
    </row>
    <row r="809" spans="1:6">
      <c r="A809">
        <v>2536</v>
      </c>
      <c r="B809" t="s">
        <v>957</v>
      </c>
      <c r="C809">
        <v>18.649999999999999</v>
      </c>
      <c r="D809">
        <f>VLOOKUP(A809,收盤價!A:C,3,0)</f>
        <v>22.25</v>
      </c>
      <c r="E809" s="187">
        <v>0.19302949061662208</v>
      </c>
      <c r="F809">
        <v>48.96</v>
      </c>
    </row>
    <row r="810" spans="1:6">
      <c r="A810">
        <v>2546</v>
      </c>
      <c r="B810" t="s">
        <v>965</v>
      </c>
      <c r="C810">
        <v>12.7</v>
      </c>
      <c r="D810">
        <f>VLOOKUP(A810,收盤價!A:C,3,0)</f>
        <v>15.15</v>
      </c>
      <c r="E810" s="187">
        <v>0.19291338582677175</v>
      </c>
      <c r="F810">
        <v>48.9</v>
      </c>
    </row>
    <row r="811" spans="1:6">
      <c r="A811">
        <v>2451</v>
      </c>
      <c r="B811" t="s">
        <v>902</v>
      </c>
      <c r="C811">
        <v>70</v>
      </c>
      <c r="D811">
        <f>VLOOKUP(A811,收盤價!A:C,3,0)</f>
        <v>83.5</v>
      </c>
      <c r="E811" s="187">
        <v>0.19285714285714287</v>
      </c>
      <c r="F811">
        <v>48.83</v>
      </c>
    </row>
    <row r="812" spans="1:6">
      <c r="A812">
        <v>3558</v>
      </c>
      <c r="B812" t="s">
        <v>346</v>
      </c>
      <c r="C812">
        <v>210</v>
      </c>
      <c r="D812">
        <f>VLOOKUP(A812,收盤價!A:C,3,0)</f>
        <v>250.5</v>
      </c>
      <c r="E812" s="187">
        <v>0.19285714285714287</v>
      </c>
      <c r="F812">
        <v>48.77</v>
      </c>
    </row>
    <row r="813" spans="1:6">
      <c r="A813">
        <v>1709</v>
      </c>
      <c r="B813" t="s">
        <v>704</v>
      </c>
      <c r="C813">
        <v>12.2</v>
      </c>
      <c r="D813">
        <f>VLOOKUP(A813,收盤價!A:C,3,0)</f>
        <v>14.55</v>
      </c>
      <c r="E813" s="187">
        <v>0.19262295081967226</v>
      </c>
      <c r="F813">
        <v>48.71</v>
      </c>
    </row>
    <row r="814" spans="1:6">
      <c r="A814">
        <v>2520</v>
      </c>
      <c r="B814" t="s">
        <v>950</v>
      </c>
      <c r="C814">
        <v>13.8</v>
      </c>
      <c r="D814">
        <f>VLOOKUP(A814,收盤價!A:C,3,0)</f>
        <v>16.45</v>
      </c>
      <c r="E814" s="187">
        <v>0.19202898550724626</v>
      </c>
      <c r="F814">
        <v>48.64</v>
      </c>
    </row>
    <row r="815" spans="1:6">
      <c r="A815">
        <v>6505</v>
      </c>
      <c r="B815" t="s">
        <v>1334</v>
      </c>
      <c r="C815">
        <v>65.099999999999994</v>
      </c>
      <c r="D815">
        <f>VLOOKUP(A815,收盤價!A:C,3,0)</f>
        <v>77.599999999999994</v>
      </c>
      <c r="E815" s="187">
        <v>0.19201228878648235</v>
      </c>
      <c r="F815">
        <v>48.58</v>
      </c>
    </row>
    <row r="816" spans="1:6">
      <c r="A816">
        <v>1583</v>
      </c>
      <c r="B816" t="s">
        <v>681</v>
      </c>
      <c r="C816">
        <v>57.9</v>
      </c>
      <c r="D816">
        <f>VLOOKUP(A816,收盤價!A:C,3,0)</f>
        <v>69</v>
      </c>
      <c r="E816" s="187">
        <v>0.19170984455958553</v>
      </c>
      <c r="F816">
        <v>48.52</v>
      </c>
    </row>
    <row r="817" spans="1:6">
      <c r="A817">
        <v>2402</v>
      </c>
      <c r="B817" t="s">
        <v>865</v>
      </c>
      <c r="C817">
        <v>14.35</v>
      </c>
      <c r="D817">
        <f>VLOOKUP(A817,收盤價!A:C,3,0)</f>
        <v>17.100000000000001</v>
      </c>
      <c r="E817" s="187">
        <v>0.19163763066202102</v>
      </c>
      <c r="F817">
        <v>48.45</v>
      </c>
    </row>
    <row r="818" spans="1:6">
      <c r="A818">
        <v>8081</v>
      </c>
      <c r="B818" t="s">
        <v>1345</v>
      </c>
      <c r="C818">
        <v>47.85</v>
      </c>
      <c r="D818">
        <f>VLOOKUP(A818,收盤價!A:C,3,0)</f>
        <v>57</v>
      </c>
      <c r="E818" s="187">
        <v>0.19122257053291533</v>
      </c>
      <c r="F818">
        <v>48.39</v>
      </c>
    </row>
    <row r="819" spans="1:6">
      <c r="A819">
        <v>9941</v>
      </c>
      <c r="B819" t="s">
        <v>1429</v>
      </c>
      <c r="C819">
        <v>62.9</v>
      </c>
      <c r="D819">
        <f>VLOOKUP(A819,收盤價!A:C,3,0)</f>
        <v>74.900000000000006</v>
      </c>
      <c r="E819" s="187">
        <v>0.1907790143084262</v>
      </c>
      <c r="F819">
        <v>48.33</v>
      </c>
    </row>
    <row r="820" spans="1:6">
      <c r="A820">
        <v>6139</v>
      </c>
      <c r="B820" t="s">
        <v>1271</v>
      </c>
      <c r="C820">
        <v>15</v>
      </c>
      <c r="D820">
        <f>VLOOKUP(A820,收盤價!A:C,3,0)</f>
        <v>17.850000000000001</v>
      </c>
      <c r="E820" s="187">
        <v>0.19000000000000009</v>
      </c>
      <c r="F820">
        <v>48.26</v>
      </c>
    </row>
    <row r="821" spans="1:6">
      <c r="A821">
        <v>9157</v>
      </c>
      <c r="B821" t="s">
        <v>1397</v>
      </c>
      <c r="C821">
        <v>1.27</v>
      </c>
      <c r="D821">
        <f>VLOOKUP(A821,收盤價!A:C,3,0)</f>
        <v>1.51</v>
      </c>
      <c r="E821" s="187">
        <v>0.1889763779527559</v>
      </c>
      <c r="F821">
        <v>48.2</v>
      </c>
    </row>
    <row r="822" spans="1:6">
      <c r="A822">
        <v>1515</v>
      </c>
      <c r="B822" t="s">
        <v>654</v>
      </c>
      <c r="C822">
        <v>9.3800000000000008</v>
      </c>
      <c r="D822">
        <f>VLOOKUP(A822,收盤價!A:C,3,0)</f>
        <v>11.15</v>
      </c>
      <c r="E822" s="187">
        <v>0.18869936034115131</v>
      </c>
      <c r="F822">
        <v>48.14</v>
      </c>
    </row>
    <row r="823" spans="1:6">
      <c r="A823">
        <v>5388</v>
      </c>
      <c r="B823" t="s">
        <v>1239</v>
      </c>
      <c r="C823">
        <v>66.8</v>
      </c>
      <c r="D823">
        <f>VLOOKUP(A823,收盤價!A:C,3,0)</f>
        <v>79.400000000000006</v>
      </c>
      <c r="E823" s="187">
        <v>0.18862275449101809</v>
      </c>
      <c r="F823">
        <v>48.08</v>
      </c>
    </row>
    <row r="824" spans="1:6">
      <c r="A824">
        <v>6287</v>
      </c>
      <c r="B824" t="s">
        <v>1766</v>
      </c>
      <c r="C824">
        <v>2.81</v>
      </c>
      <c r="D824">
        <f>VLOOKUP(A824,收盤價!A:C,3,0)</f>
        <v>3.34</v>
      </c>
      <c r="E824" s="187">
        <v>0.18861209964412803</v>
      </c>
      <c r="F824">
        <v>48.01</v>
      </c>
    </row>
    <row r="825" spans="1:6">
      <c r="A825">
        <v>1504</v>
      </c>
      <c r="B825" t="s">
        <v>648</v>
      </c>
      <c r="C825">
        <v>22.6</v>
      </c>
      <c r="D825">
        <f>VLOOKUP(A825,收盤價!A:C,3,0)</f>
        <v>26.85</v>
      </c>
      <c r="E825" s="187">
        <v>0.18805309734513273</v>
      </c>
      <c r="F825">
        <v>47.95</v>
      </c>
    </row>
    <row r="826" spans="1:6">
      <c r="A826">
        <v>6160</v>
      </c>
      <c r="B826" t="s">
        <v>1733</v>
      </c>
      <c r="C826">
        <v>11.45</v>
      </c>
      <c r="D826">
        <f>VLOOKUP(A826,收盤價!A:C,3,0)</f>
        <v>13.6</v>
      </c>
      <c r="E826" s="187">
        <v>0.18777292576419219</v>
      </c>
      <c r="F826">
        <v>47.89</v>
      </c>
    </row>
    <row r="827" spans="1:6">
      <c r="A827">
        <v>4973</v>
      </c>
      <c r="B827" t="s">
        <v>1634</v>
      </c>
      <c r="C827">
        <v>13.6</v>
      </c>
      <c r="D827">
        <f>VLOOKUP(A827,收盤價!A:C,3,0)</f>
        <v>16.149999999999999</v>
      </c>
      <c r="E827" s="187">
        <v>0.18749999999999992</v>
      </c>
      <c r="F827">
        <v>47.82</v>
      </c>
    </row>
    <row r="828" spans="1:6">
      <c r="A828">
        <v>2705</v>
      </c>
      <c r="B828" t="s">
        <v>991</v>
      </c>
      <c r="C828">
        <v>8.8000000000000007</v>
      </c>
      <c r="D828">
        <f>VLOOKUP(A828,收盤價!A:C,3,0)</f>
        <v>10.45</v>
      </c>
      <c r="E828" s="187">
        <v>0.18749999999999983</v>
      </c>
      <c r="F828">
        <v>47.76</v>
      </c>
    </row>
    <row r="829" spans="1:6">
      <c r="A829">
        <v>6109</v>
      </c>
      <c r="B829" t="s">
        <v>1713</v>
      </c>
      <c r="C829">
        <v>11.5</v>
      </c>
      <c r="D829">
        <f>VLOOKUP(A829,收盤價!A:C,3,0)</f>
        <v>13.65</v>
      </c>
      <c r="E829" s="187">
        <v>0.18695652173913047</v>
      </c>
      <c r="F829">
        <v>47.7</v>
      </c>
    </row>
    <row r="830" spans="1:6">
      <c r="A830">
        <v>3026</v>
      </c>
      <c r="B830" t="s">
        <v>1066</v>
      </c>
      <c r="C830">
        <v>28</v>
      </c>
      <c r="D830">
        <f>VLOOKUP(A830,收盤價!A:C,3,0)</f>
        <v>33.200000000000003</v>
      </c>
      <c r="E830" s="187">
        <v>0.1857142857142858</v>
      </c>
      <c r="F830">
        <v>47.63</v>
      </c>
    </row>
    <row r="831" spans="1:6">
      <c r="A831">
        <v>3431</v>
      </c>
      <c r="B831" t="s">
        <v>1517</v>
      </c>
      <c r="C831">
        <v>7.38</v>
      </c>
      <c r="D831">
        <f>VLOOKUP(A831,收盤價!A:C,3,0)</f>
        <v>8.75</v>
      </c>
      <c r="E831" s="187">
        <v>0.1856368563685637</v>
      </c>
      <c r="F831">
        <v>47.57</v>
      </c>
    </row>
    <row r="832" spans="1:6">
      <c r="A832">
        <v>2887</v>
      </c>
      <c r="B832" t="s">
        <v>1026</v>
      </c>
      <c r="C832">
        <v>10.25</v>
      </c>
      <c r="D832">
        <f>VLOOKUP(A832,收盤價!A:C,3,0)</f>
        <v>12.15</v>
      </c>
      <c r="E832" s="187">
        <v>0.18536585365853661</v>
      </c>
      <c r="F832">
        <v>47.51</v>
      </c>
    </row>
    <row r="833" spans="1:6">
      <c r="A833">
        <v>5439</v>
      </c>
      <c r="B833" t="s">
        <v>432</v>
      </c>
      <c r="C833">
        <v>15.65</v>
      </c>
      <c r="D833">
        <f>VLOOKUP(A833,收盤價!A:C,3,0)</f>
        <v>18.55</v>
      </c>
      <c r="E833" s="187">
        <v>0.18530351437699683</v>
      </c>
      <c r="F833">
        <v>47.44</v>
      </c>
    </row>
    <row r="834" spans="1:6">
      <c r="A834">
        <v>3658</v>
      </c>
      <c r="B834" t="s">
        <v>358</v>
      </c>
      <c r="C834">
        <v>1115</v>
      </c>
      <c r="D834">
        <f>VLOOKUP(A834,收盤價!A:C,3,0)</f>
        <v>1320</v>
      </c>
      <c r="E834" s="187">
        <v>0.18385650224215247</v>
      </c>
      <c r="F834">
        <v>47.38</v>
      </c>
    </row>
    <row r="835" spans="1:6">
      <c r="A835">
        <v>3664</v>
      </c>
      <c r="B835" t="s">
        <v>1555</v>
      </c>
      <c r="C835">
        <v>12.8</v>
      </c>
      <c r="D835">
        <f>VLOOKUP(A835,收盤價!A:C,3,0)</f>
        <v>15.15</v>
      </c>
      <c r="E835" s="187">
        <v>0.18359374999999997</v>
      </c>
      <c r="F835">
        <v>47.32</v>
      </c>
    </row>
    <row r="836" spans="1:6">
      <c r="A836">
        <v>1727</v>
      </c>
      <c r="B836" t="s">
        <v>720</v>
      </c>
      <c r="C836">
        <v>13.35</v>
      </c>
      <c r="D836">
        <f>VLOOKUP(A836,收盤價!A:C,3,0)</f>
        <v>15.8</v>
      </c>
      <c r="E836" s="187">
        <v>0.18352059925093642</v>
      </c>
      <c r="F836">
        <v>47.26</v>
      </c>
    </row>
    <row r="837" spans="1:6">
      <c r="A837">
        <v>6404</v>
      </c>
      <c r="B837" t="s">
        <v>1771</v>
      </c>
      <c r="C837">
        <v>39.799999999999997</v>
      </c>
      <c r="D837">
        <f>VLOOKUP(A837,收盤價!A:C,3,0)</f>
        <v>47.1</v>
      </c>
      <c r="E837" s="187">
        <v>0.18341708542713581</v>
      </c>
      <c r="F837">
        <v>47.19</v>
      </c>
    </row>
    <row r="838" spans="1:6">
      <c r="A838">
        <v>6286</v>
      </c>
      <c r="B838" t="s">
        <v>1318</v>
      </c>
      <c r="C838">
        <v>161</v>
      </c>
      <c r="D838">
        <f>VLOOKUP(A838,收盤價!A:C,3,0)</f>
        <v>190.5</v>
      </c>
      <c r="E838" s="187">
        <v>0.18322981366459629</v>
      </c>
      <c r="F838">
        <v>47.13</v>
      </c>
    </row>
    <row r="839" spans="1:6">
      <c r="A839">
        <v>6224</v>
      </c>
      <c r="B839" t="s">
        <v>1301</v>
      </c>
      <c r="C839">
        <v>59.1</v>
      </c>
      <c r="D839">
        <f>VLOOKUP(A839,收盤價!A:C,3,0)</f>
        <v>69.900000000000006</v>
      </c>
      <c r="E839" s="187">
        <v>0.18274111675126911</v>
      </c>
      <c r="F839">
        <v>47.07</v>
      </c>
    </row>
    <row r="840" spans="1:6">
      <c r="A840">
        <v>3085</v>
      </c>
      <c r="B840" t="s">
        <v>286</v>
      </c>
      <c r="C840">
        <v>5.86</v>
      </c>
      <c r="D840">
        <f>VLOOKUP(A840,收盤價!A:C,3,0)</f>
        <v>6.93</v>
      </c>
      <c r="E840" s="187">
        <v>0.18259385665528999</v>
      </c>
      <c r="F840">
        <v>47</v>
      </c>
    </row>
    <row r="841" spans="1:6">
      <c r="A841">
        <v>3580</v>
      </c>
      <c r="B841" t="s">
        <v>1544</v>
      </c>
      <c r="C841">
        <v>5.0999999999999996</v>
      </c>
      <c r="D841">
        <f>VLOOKUP(A841,收盤價!A:C,3,0)</f>
        <v>6.03</v>
      </c>
      <c r="E841" s="187">
        <v>0.18235294117647072</v>
      </c>
      <c r="F841">
        <v>46.94</v>
      </c>
    </row>
    <row r="842" spans="1:6">
      <c r="A842">
        <v>3705</v>
      </c>
      <c r="B842" t="s">
        <v>1179</v>
      </c>
      <c r="C842">
        <v>42.3</v>
      </c>
      <c r="D842">
        <f>VLOOKUP(A842,收盤價!A:C,3,0)</f>
        <v>50</v>
      </c>
      <c r="E842" s="187">
        <v>0.18203309692671402</v>
      </c>
      <c r="F842">
        <v>46.88</v>
      </c>
    </row>
    <row r="843" spans="1:6">
      <c r="A843">
        <v>2719</v>
      </c>
      <c r="B843" t="s">
        <v>282</v>
      </c>
      <c r="C843">
        <v>14.85</v>
      </c>
      <c r="D843">
        <f>VLOOKUP(A843,收盤價!A:C,3,0)</f>
        <v>17.55</v>
      </c>
      <c r="E843" s="187">
        <v>0.18181818181818191</v>
      </c>
      <c r="F843">
        <v>46.81</v>
      </c>
    </row>
    <row r="844" spans="1:6">
      <c r="A844">
        <v>5403</v>
      </c>
      <c r="B844" t="s">
        <v>1863</v>
      </c>
      <c r="C844">
        <v>18.5</v>
      </c>
      <c r="D844">
        <f>VLOOKUP(A844,收盤價!A:C,3,0)</f>
        <v>21.85</v>
      </c>
      <c r="E844" s="187">
        <v>0.18108108108108115</v>
      </c>
      <c r="F844">
        <v>46.75</v>
      </c>
    </row>
    <row r="845" spans="1:6">
      <c r="A845">
        <v>6216</v>
      </c>
      <c r="B845" t="s">
        <v>1300</v>
      </c>
      <c r="C845">
        <v>24.3</v>
      </c>
      <c r="D845">
        <f>VLOOKUP(A845,收盤價!A:C,3,0)</f>
        <v>28.7</v>
      </c>
      <c r="E845" s="187">
        <v>0.18106995884773655</v>
      </c>
      <c r="F845">
        <v>46.69</v>
      </c>
    </row>
    <row r="846" spans="1:6">
      <c r="A846">
        <v>2362</v>
      </c>
      <c r="B846" t="s">
        <v>838</v>
      </c>
      <c r="C846">
        <v>27.35</v>
      </c>
      <c r="D846">
        <f>VLOOKUP(A846,收盤價!A:C,3,0)</f>
        <v>32.299999999999997</v>
      </c>
      <c r="E846" s="187">
        <v>0.18098720292504553</v>
      </c>
      <c r="F846">
        <v>46.62</v>
      </c>
    </row>
    <row r="847" spans="1:6">
      <c r="A847">
        <v>4109</v>
      </c>
      <c r="B847" t="s">
        <v>1566</v>
      </c>
      <c r="C847">
        <v>21.55</v>
      </c>
      <c r="D847">
        <f>VLOOKUP(A847,收盤價!A:C,3,0)</f>
        <v>25.45</v>
      </c>
      <c r="E847" s="187">
        <v>0.1809744779582366</v>
      </c>
      <c r="F847">
        <v>46.56</v>
      </c>
    </row>
    <row r="848" spans="1:6">
      <c r="A848">
        <v>2031</v>
      </c>
      <c r="B848" t="s">
        <v>769</v>
      </c>
      <c r="C848">
        <v>10.8</v>
      </c>
      <c r="D848">
        <f>VLOOKUP(A848,收盤價!A:C,3,0)</f>
        <v>12.75</v>
      </c>
      <c r="E848" s="187">
        <v>0.18055555555555547</v>
      </c>
      <c r="F848">
        <v>46.5</v>
      </c>
    </row>
    <row r="849" spans="1:6">
      <c r="A849">
        <v>3551</v>
      </c>
      <c r="B849" t="s">
        <v>343</v>
      </c>
      <c r="C849">
        <v>29.15</v>
      </c>
      <c r="D849">
        <f>VLOOKUP(A849,收盤價!A:C,3,0)</f>
        <v>34.4</v>
      </c>
      <c r="E849" s="187">
        <v>0.18010291595197256</v>
      </c>
      <c r="F849">
        <v>46.44</v>
      </c>
    </row>
    <row r="850" spans="1:6">
      <c r="A850">
        <v>4526</v>
      </c>
      <c r="B850" t="s">
        <v>1194</v>
      </c>
      <c r="C850">
        <v>20.3</v>
      </c>
      <c r="D850">
        <f>VLOOKUP(A850,收盤價!A:C,3,0)</f>
        <v>23.95</v>
      </c>
      <c r="E850" s="187">
        <v>0.17980295566502455</v>
      </c>
      <c r="F850">
        <v>46.37</v>
      </c>
    </row>
    <row r="851" spans="1:6">
      <c r="A851">
        <v>6121</v>
      </c>
      <c r="B851" t="s">
        <v>454</v>
      </c>
      <c r="C851">
        <v>99.6</v>
      </c>
      <c r="D851">
        <f>VLOOKUP(A851,收盤價!A:C,3,0)</f>
        <v>117.5</v>
      </c>
      <c r="E851" s="187">
        <v>0.1797188755020081</v>
      </c>
      <c r="F851">
        <v>46.31</v>
      </c>
    </row>
    <row r="852" spans="1:6">
      <c r="A852">
        <v>6217</v>
      </c>
      <c r="B852" t="s">
        <v>1749</v>
      </c>
      <c r="C852">
        <v>40.450000000000003</v>
      </c>
      <c r="D852">
        <f>VLOOKUP(A852,收盤價!A:C,3,0)</f>
        <v>47.7</v>
      </c>
      <c r="E852" s="187">
        <v>0.1792336217552534</v>
      </c>
      <c r="F852">
        <v>46.25</v>
      </c>
    </row>
    <row r="853" spans="1:6">
      <c r="A853">
        <v>5475</v>
      </c>
      <c r="B853" t="s">
        <v>1680</v>
      </c>
      <c r="C853">
        <v>3.25</v>
      </c>
      <c r="D853">
        <f>VLOOKUP(A853,收盤價!A:C,3,0)</f>
        <v>3.83</v>
      </c>
      <c r="E853" s="187">
        <v>0.17846153846153848</v>
      </c>
      <c r="F853">
        <v>46.18</v>
      </c>
    </row>
    <row r="854" spans="1:6">
      <c r="A854">
        <v>2867</v>
      </c>
      <c r="B854" t="s">
        <v>1018</v>
      </c>
      <c r="C854">
        <v>16.25</v>
      </c>
      <c r="D854">
        <f>VLOOKUP(A854,收盤價!A:C,3,0)</f>
        <v>19.149999999999999</v>
      </c>
      <c r="E854" s="187">
        <v>0.17846153846153837</v>
      </c>
      <c r="F854">
        <v>46.12</v>
      </c>
    </row>
    <row r="855" spans="1:6">
      <c r="A855">
        <v>6277</v>
      </c>
      <c r="B855" t="s">
        <v>1312</v>
      </c>
      <c r="C855">
        <v>60</v>
      </c>
      <c r="D855">
        <f>VLOOKUP(A855,收盤價!A:C,3,0)</f>
        <v>70.7</v>
      </c>
      <c r="E855" s="187">
        <v>0.17833333333333337</v>
      </c>
      <c r="F855">
        <v>46.06</v>
      </c>
    </row>
    <row r="856" spans="1:6">
      <c r="A856">
        <v>5480</v>
      </c>
      <c r="B856" t="s">
        <v>1681</v>
      </c>
      <c r="C856">
        <v>9.68</v>
      </c>
      <c r="D856">
        <f>VLOOKUP(A856,收盤價!A:C,3,0)</f>
        <v>11.4</v>
      </c>
      <c r="E856" s="187">
        <v>0.17768595041322321</v>
      </c>
      <c r="F856">
        <v>45.99</v>
      </c>
    </row>
    <row r="857" spans="1:6">
      <c r="A857">
        <v>2414</v>
      </c>
      <c r="B857" t="s">
        <v>873</v>
      </c>
      <c r="C857">
        <v>13.8</v>
      </c>
      <c r="D857">
        <f>VLOOKUP(A857,收盤價!A:C,3,0)</f>
        <v>16.25</v>
      </c>
      <c r="E857" s="187">
        <v>0.1775362318840579</v>
      </c>
      <c r="F857">
        <v>45.93</v>
      </c>
    </row>
    <row r="858" spans="1:6">
      <c r="A858">
        <v>2489</v>
      </c>
      <c r="B858" t="s">
        <v>932</v>
      </c>
      <c r="C858">
        <v>13.55</v>
      </c>
      <c r="D858">
        <f>VLOOKUP(A858,收盤價!A:C,3,0)</f>
        <v>15.95</v>
      </c>
      <c r="E858" s="187">
        <v>0.17712177121771205</v>
      </c>
      <c r="F858">
        <v>45.87</v>
      </c>
    </row>
    <row r="859" spans="1:6">
      <c r="A859">
        <v>5521</v>
      </c>
      <c r="B859" t="s">
        <v>1246</v>
      </c>
      <c r="C859">
        <v>9.6</v>
      </c>
      <c r="D859">
        <f>VLOOKUP(A859,收盤價!A:C,3,0)</f>
        <v>11.3</v>
      </c>
      <c r="E859" s="187">
        <v>0.17708333333333345</v>
      </c>
      <c r="F859">
        <v>45.8</v>
      </c>
    </row>
    <row r="860" spans="1:6">
      <c r="A860">
        <v>3653</v>
      </c>
      <c r="B860" t="s">
        <v>1165</v>
      </c>
      <c r="C860">
        <v>37</v>
      </c>
      <c r="D860">
        <f>VLOOKUP(A860,收盤價!A:C,3,0)</f>
        <v>43.55</v>
      </c>
      <c r="E860" s="187">
        <v>0.17702702702702694</v>
      </c>
      <c r="F860">
        <v>45.74</v>
      </c>
    </row>
    <row r="861" spans="1:6">
      <c r="A861">
        <v>6128</v>
      </c>
      <c r="B861" t="s">
        <v>1267</v>
      </c>
      <c r="C861">
        <v>30</v>
      </c>
      <c r="D861">
        <f>VLOOKUP(A861,收盤價!A:C,3,0)</f>
        <v>35.299999999999997</v>
      </c>
      <c r="E861" s="187">
        <v>0.17666666666666658</v>
      </c>
      <c r="F861">
        <v>45.68</v>
      </c>
    </row>
    <row r="862" spans="1:6">
      <c r="A862">
        <v>4716</v>
      </c>
      <c r="B862" t="s">
        <v>1615</v>
      </c>
      <c r="C862">
        <v>8.8000000000000007</v>
      </c>
      <c r="D862">
        <f>VLOOKUP(A862,收盤價!A:C,3,0)</f>
        <v>10.35</v>
      </c>
      <c r="E862" s="187">
        <v>0.17613636363636351</v>
      </c>
      <c r="F862">
        <v>45.62</v>
      </c>
    </row>
    <row r="863" spans="1:6">
      <c r="A863">
        <v>8074</v>
      </c>
      <c r="B863" t="s">
        <v>1794</v>
      </c>
      <c r="C863">
        <v>21.35</v>
      </c>
      <c r="D863">
        <f>VLOOKUP(A863,收盤價!A:C,3,0)</f>
        <v>25.1</v>
      </c>
      <c r="E863" s="187">
        <v>0.1756440281030445</v>
      </c>
      <c r="F863">
        <v>45.55</v>
      </c>
    </row>
    <row r="864" spans="1:6">
      <c r="A864">
        <v>2423</v>
      </c>
      <c r="B864" t="s">
        <v>879</v>
      </c>
      <c r="C864">
        <v>14.25</v>
      </c>
      <c r="D864">
        <f>VLOOKUP(A864,收盤價!A:C,3,0)</f>
        <v>16.75</v>
      </c>
      <c r="E864" s="187">
        <v>0.17543859649122806</v>
      </c>
      <c r="F864">
        <v>45.49</v>
      </c>
    </row>
    <row r="865" spans="1:6">
      <c r="A865">
        <v>2442</v>
      </c>
      <c r="B865" t="s">
        <v>896</v>
      </c>
      <c r="C865">
        <v>5.85</v>
      </c>
      <c r="D865">
        <f>VLOOKUP(A865,收盤價!A:C,3,0)</f>
        <v>6.87</v>
      </c>
      <c r="E865" s="187">
        <v>0.17435897435897446</v>
      </c>
      <c r="F865">
        <v>45.43</v>
      </c>
    </row>
    <row r="866" spans="1:6">
      <c r="A866">
        <v>1213</v>
      </c>
      <c r="B866" t="s">
        <v>556</v>
      </c>
      <c r="C866">
        <v>13.2</v>
      </c>
      <c r="D866">
        <f>VLOOKUP(A866,收盤價!A:C,3,0)</f>
        <v>15.5</v>
      </c>
      <c r="E866" s="187">
        <v>0.17424242424242431</v>
      </c>
      <c r="F866">
        <v>45.36</v>
      </c>
    </row>
    <row r="867" spans="1:6">
      <c r="A867">
        <v>1227</v>
      </c>
      <c r="B867" t="s">
        <v>564</v>
      </c>
      <c r="C867">
        <v>66.7</v>
      </c>
      <c r="D867">
        <f>VLOOKUP(A867,收盤價!A:C,3,0)</f>
        <v>78.3</v>
      </c>
      <c r="E867" s="187">
        <v>0.17391304347826078</v>
      </c>
      <c r="F867">
        <v>45.3</v>
      </c>
    </row>
    <row r="868" spans="1:6">
      <c r="A868">
        <v>3291</v>
      </c>
      <c r="B868" t="s">
        <v>313</v>
      </c>
      <c r="C868">
        <v>14.4</v>
      </c>
      <c r="D868">
        <f>VLOOKUP(A868,收盤價!A:C,3,0)</f>
        <v>16.899999999999999</v>
      </c>
      <c r="E868" s="187">
        <v>0.17361111111111099</v>
      </c>
      <c r="F868">
        <v>45.24</v>
      </c>
    </row>
    <row r="869" spans="1:6">
      <c r="A869">
        <v>1808</v>
      </c>
      <c r="B869" t="s">
        <v>738</v>
      </c>
      <c r="C869">
        <v>23.05</v>
      </c>
      <c r="D869">
        <f>VLOOKUP(A869,收盤價!A:C,3,0)</f>
        <v>27.05</v>
      </c>
      <c r="E869" s="187">
        <v>0.17353579175704989</v>
      </c>
      <c r="F869">
        <v>45.17</v>
      </c>
    </row>
    <row r="870" spans="1:6">
      <c r="A870">
        <v>2329</v>
      </c>
      <c r="B870" t="s">
        <v>814</v>
      </c>
      <c r="C870">
        <v>10.1</v>
      </c>
      <c r="D870">
        <f>VLOOKUP(A870,收盤價!A:C,3,0)</f>
        <v>11.85</v>
      </c>
      <c r="E870" s="187">
        <v>0.17326732673267328</v>
      </c>
      <c r="F870">
        <v>45.11</v>
      </c>
    </row>
    <row r="871" spans="1:6">
      <c r="A871">
        <v>6229</v>
      </c>
      <c r="B871" t="s">
        <v>477</v>
      </c>
      <c r="C871">
        <v>10.1</v>
      </c>
      <c r="D871">
        <f>VLOOKUP(A871,收盤價!A:C,3,0)</f>
        <v>11.85</v>
      </c>
      <c r="E871" s="187">
        <v>0.17326732673267328</v>
      </c>
      <c r="F871">
        <v>45.05</v>
      </c>
    </row>
    <row r="872" spans="1:6">
      <c r="A872">
        <v>2482</v>
      </c>
      <c r="B872" t="s">
        <v>926</v>
      </c>
      <c r="C872">
        <v>11.85</v>
      </c>
      <c r="D872">
        <f>VLOOKUP(A872,收盤價!A:C,3,0)</f>
        <v>13.9</v>
      </c>
      <c r="E872" s="187">
        <v>0.17299578059071735</v>
      </c>
      <c r="F872">
        <v>44.98</v>
      </c>
    </row>
    <row r="873" spans="1:6">
      <c r="A873">
        <v>6208</v>
      </c>
      <c r="B873" t="s">
        <v>1746</v>
      </c>
      <c r="C873">
        <v>9.3000000000000007</v>
      </c>
      <c r="D873">
        <f>VLOOKUP(A873,收盤價!A:C,3,0)</f>
        <v>10.9</v>
      </c>
      <c r="E873" s="187">
        <v>0.17204301075268813</v>
      </c>
      <c r="F873">
        <v>44.92</v>
      </c>
    </row>
    <row r="874" spans="1:6">
      <c r="A874">
        <v>1434</v>
      </c>
      <c r="B874" t="s">
        <v>608</v>
      </c>
      <c r="C874">
        <v>26.5</v>
      </c>
      <c r="D874">
        <f>VLOOKUP(A874,收盤價!A:C,3,0)</f>
        <v>31.05</v>
      </c>
      <c r="E874" s="187">
        <v>0.17169811320754719</v>
      </c>
      <c r="F874">
        <v>44.86</v>
      </c>
    </row>
    <row r="875" spans="1:6">
      <c r="A875">
        <v>6292</v>
      </c>
      <c r="B875" t="s">
        <v>1768</v>
      </c>
      <c r="C875">
        <v>24.25</v>
      </c>
      <c r="D875">
        <f>VLOOKUP(A875,收盤價!A:C,3,0)</f>
        <v>28.4</v>
      </c>
      <c r="E875" s="187">
        <v>0.17113402061855665</v>
      </c>
      <c r="F875">
        <v>44.79</v>
      </c>
    </row>
    <row r="876" spans="1:6">
      <c r="A876">
        <v>4533</v>
      </c>
      <c r="B876" t="s">
        <v>1608</v>
      </c>
      <c r="C876">
        <v>10</v>
      </c>
      <c r="D876">
        <f>VLOOKUP(A876,收盤價!A:C,3,0)</f>
        <v>11.7</v>
      </c>
      <c r="E876" s="187">
        <v>0.16999999999999993</v>
      </c>
      <c r="F876">
        <v>44.73</v>
      </c>
    </row>
    <row r="877" spans="1:6">
      <c r="A877">
        <v>6226</v>
      </c>
      <c r="B877" t="s">
        <v>1303</v>
      </c>
      <c r="C877">
        <v>5.13</v>
      </c>
      <c r="D877">
        <f>VLOOKUP(A877,收盤價!A:C,3,0)</f>
        <v>6</v>
      </c>
      <c r="E877" s="187">
        <v>0.16959064327485382</v>
      </c>
      <c r="F877">
        <v>44.67</v>
      </c>
    </row>
    <row r="878" spans="1:6">
      <c r="A878">
        <v>3036</v>
      </c>
      <c r="B878" t="s">
        <v>1076</v>
      </c>
      <c r="C878">
        <v>30.1</v>
      </c>
      <c r="D878">
        <f>VLOOKUP(A878,收盤價!A:C,3,0)</f>
        <v>35.200000000000003</v>
      </c>
      <c r="E878" s="187">
        <v>0.16943521594684388</v>
      </c>
      <c r="F878">
        <v>44.61</v>
      </c>
    </row>
    <row r="879" spans="1:6">
      <c r="A879">
        <v>3296</v>
      </c>
      <c r="B879" t="s">
        <v>1112</v>
      </c>
      <c r="C879">
        <v>12.7</v>
      </c>
      <c r="D879">
        <f>VLOOKUP(A879,收盤價!A:C,3,0)</f>
        <v>14.85</v>
      </c>
      <c r="E879" s="187">
        <v>0.1692913385826772</v>
      </c>
      <c r="F879">
        <v>44.54</v>
      </c>
    </row>
    <row r="880" spans="1:6">
      <c r="A880">
        <v>9917</v>
      </c>
      <c r="B880" t="s">
        <v>1410</v>
      </c>
      <c r="C880">
        <v>84.6</v>
      </c>
      <c r="D880">
        <f>VLOOKUP(A880,收盤價!A:C,3,0)</f>
        <v>98.9</v>
      </c>
      <c r="E880" s="187">
        <v>0.16903073286052023</v>
      </c>
      <c r="F880">
        <v>44.48</v>
      </c>
    </row>
    <row r="881" spans="1:6">
      <c r="A881">
        <v>1262</v>
      </c>
      <c r="B881" t="s">
        <v>572</v>
      </c>
      <c r="C881">
        <v>112.5</v>
      </c>
      <c r="D881">
        <f>VLOOKUP(A881,收盤價!A:C,3,0)</f>
        <v>131.5</v>
      </c>
      <c r="E881" s="187">
        <v>0.16888888888888889</v>
      </c>
      <c r="F881">
        <v>44.42</v>
      </c>
    </row>
    <row r="882" spans="1:6">
      <c r="A882">
        <v>6209</v>
      </c>
      <c r="B882" t="s">
        <v>1296</v>
      </c>
      <c r="C882">
        <v>13.65</v>
      </c>
      <c r="D882">
        <f>VLOOKUP(A882,收盤價!A:C,3,0)</f>
        <v>15.95</v>
      </c>
      <c r="E882" s="187">
        <v>0.16849816849816843</v>
      </c>
      <c r="F882">
        <v>44.35</v>
      </c>
    </row>
    <row r="883" spans="1:6">
      <c r="A883">
        <v>6024</v>
      </c>
      <c r="B883" t="s">
        <v>453</v>
      </c>
      <c r="C883">
        <v>24.35</v>
      </c>
      <c r="D883">
        <f>VLOOKUP(A883,收盤價!A:C,3,0)</f>
        <v>28.45</v>
      </c>
      <c r="E883" s="187">
        <v>0.16837782340862414</v>
      </c>
      <c r="F883">
        <v>44.29</v>
      </c>
    </row>
    <row r="884" spans="1:6">
      <c r="A884">
        <v>4972</v>
      </c>
      <c r="B884" t="s">
        <v>1633</v>
      </c>
      <c r="C884">
        <v>32.700000000000003</v>
      </c>
      <c r="D884">
        <f>VLOOKUP(A884,收盤價!A:C,3,0)</f>
        <v>38.200000000000003</v>
      </c>
      <c r="E884" s="187">
        <v>0.16819571865443422</v>
      </c>
      <c r="F884">
        <v>44.23</v>
      </c>
    </row>
    <row r="885" spans="1:6">
      <c r="A885">
        <v>3581</v>
      </c>
      <c r="B885" t="s">
        <v>1545</v>
      </c>
      <c r="C885">
        <v>12.5</v>
      </c>
      <c r="D885">
        <f>VLOOKUP(A885,收盤價!A:C,3,0)</f>
        <v>14.6</v>
      </c>
      <c r="E885" s="187">
        <v>0.16799999999999998</v>
      </c>
      <c r="F885">
        <v>44.16</v>
      </c>
    </row>
    <row r="886" spans="1:6">
      <c r="A886">
        <v>1449</v>
      </c>
      <c r="B886" t="s">
        <v>622</v>
      </c>
      <c r="C886">
        <v>5.5</v>
      </c>
      <c r="D886">
        <f>VLOOKUP(A886,收盤價!A:C,3,0)</f>
        <v>6.42</v>
      </c>
      <c r="E886" s="187">
        <v>0.16727272727272727</v>
      </c>
      <c r="F886">
        <v>44.1</v>
      </c>
    </row>
    <row r="887" spans="1:6">
      <c r="A887">
        <v>6016</v>
      </c>
      <c r="B887" t="s">
        <v>1705</v>
      </c>
      <c r="C887">
        <v>5.7</v>
      </c>
      <c r="D887">
        <f>VLOOKUP(A887,收盤價!A:C,3,0)</f>
        <v>6.65</v>
      </c>
      <c r="E887" s="187">
        <v>0.16666666666666669</v>
      </c>
      <c r="F887">
        <v>44.04</v>
      </c>
    </row>
    <row r="888" spans="1:6">
      <c r="A888">
        <v>3034</v>
      </c>
      <c r="B888" t="s">
        <v>1074</v>
      </c>
      <c r="C888">
        <v>102</v>
      </c>
      <c r="D888">
        <f>VLOOKUP(A888,收盤價!A:C,3,0)</f>
        <v>119</v>
      </c>
      <c r="E888" s="187">
        <v>0.16666666666666666</v>
      </c>
      <c r="F888">
        <v>43.97</v>
      </c>
    </row>
    <row r="889" spans="1:6">
      <c r="A889">
        <v>2417</v>
      </c>
      <c r="B889" t="s">
        <v>875</v>
      </c>
      <c r="C889">
        <v>8.33</v>
      </c>
      <c r="D889">
        <f>VLOOKUP(A889,收盤價!A:C,3,0)</f>
        <v>9.7100000000000009</v>
      </c>
      <c r="E889" s="187">
        <v>0.16566626650660274</v>
      </c>
      <c r="F889">
        <v>43.91</v>
      </c>
    </row>
    <row r="890" spans="1:6">
      <c r="A890">
        <v>5344</v>
      </c>
      <c r="B890" t="s">
        <v>1662</v>
      </c>
      <c r="C890">
        <v>5.26</v>
      </c>
      <c r="D890">
        <f>VLOOKUP(A890,收盤價!A:C,3,0)</f>
        <v>6.13</v>
      </c>
      <c r="E890" s="187">
        <v>0.16539923954372626</v>
      </c>
      <c r="F890">
        <v>43.85</v>
      </c>
    </row>
    <row r="891" spans="1:6">
      <c r="A891">
        <v>5457</v>
      </c>
      <c r="B891" t="s">
        <v>436</v>
      </c>
      <c r="C891">
        <v>25.6</v>
      </c>
      <c r="D891">
        <f>VLOOKUP(A891,收盤價!A:C,3,0)</f>
        <v>29.8</v>
      </c>
      <c r="E891" s="187">
        <v>0.16406249999999997</v>
      </c>
      <c r="F891">
        <v>43.79</v>
      </c>
    </row>
    <row r="892" spans="1:6">
      <c r="A892">
        <v>1605</v>
      </c>
      <c r="B892" t="s">
        <v>687</v>
      </c>
      <c r="C892">
        <v>6.16</v>
      </c>
      <c r="D892">
        <f>VLOOKUP(A892,收盤價!A:C,3,0)</f>
        <v>7.17</v>
      </c>
      <c r="E892" s="187">
        <v>0.16396103896103892</v>
      </c>
      <c r="F892">
        <v>43.72</v>
      </c>
    </row>
    <row r="893" spans="1:6">
      <c r="A893">
        <v>1303</v>
      </c>
      <c r="B893" t="s">
        <v>574</v>
      </c>
      <c r="C893">
        <v>53.1</v>
      </c>
      <c r="D893">
        <f>VLOOKUP(A893,收盤價!A:C,3,0)</f>
        <v>61.8</v>
      </c>
      <c r="E893" s="187">
        <v>0.16384180790960443</v>
      </c>
      <c r="F893">
        <v>43.66</v>
      </c>
    </row>
    <row r="894" spans="1:6">
      <c r="A894">
        <v>8271</v>
      </c>
      <c r="B894" t="s">
        <v>1362</v>
      </c>
      <c r="C894">
        <v>15</v>
      </c>
      <c r="D894">
        <f>VLOOKUP(A894,收盤價!A:C,3,0)</f>
        <v>17.45</v>
      </c>
      <c r="E894" s="187">
        <v>0.16333333333333327</v>
      </c>
      <c r="F894">
        <v>43.6</v>
      </c>
    </row>
    <row r="895" spans="1:6">
      <c r="A895">
        <v>2390</v>
      </c>
      <c r="B895" t="s">
        <v>858</v>
      </c>
      <c r="C895">
        <v>19</v>
      </c>
      <c r="D895">
        <f>VLOOKUP(A895,收盤價!A:C,3,0)</f>
        <v>22.1</v>
      </c>
      <c r="E895" s="187">
        <v>0.16315789473684217</v>
      </c>
      <c r="F895">
        <v>43.53</v>
      </c>
    </row>
    <row r="896" spans="1:6">
      <c r="A896">
        <v>6197</v>
      </c>
      <c r="B896" t="s">
        <v>1291</v>
      </c>
      <c r="C896">
        <v>27</v>
      </c>
      <c r="D896">
        <f>VLOOKUP(A896,收盤價!A:C,3,0)</f>
        <v>31.4</v>
      </c>
      <c r="E896" s="187">
        <v>0.16296296296296292</v>
      </c>
      <c r="F896">
        <v>43.47</v>
      </c>
    </row>
    <row r="897" spans="1:6">
      <c r="A897">
        <v>5317</v>
      </c>
      <c r="B897" t="s">
        <v>421</v>
      </c>
      <c r="C897">
        <v>12.6</v>
      </c>
      <c r="D897">
        <f>VLOOKUP(A897,收盤價!A:C,3,0)</f>
        <v>14.65</v>
      </c>
      <c r="E897" s="187">
        <v>0.16269841269841276</v>
      </c>
      <c r="F897">
        <v>43.41</v>
      </c>
    </row>
    <row r="898" spans="1:6">
      <c r="A898">
        <v>9905</v>
      </c>
      <c r="B898" t="s">
        <v>1402</v>
      </c>
      <c r="C898">
        <v>24.9</v>
      </c>
      <c r="D898">
        <f>VLOOKUP(A898,收盤價!A:C,3,0)</f>
        <v>28.95</v>
      </c>
      <c r="E898" s="187">
        <v>0.16265060240963858</v>
      </c>
      <c r="F898">
        <v>43.34</v>
      </c>
    </row>
    <row r="899" spans="1:6">
      <c r="A899">
        <v>1580</v>
      </c>
      <c r="B899" t="s">
        <v>1442</v>
      </c>
      <c r="C899">
        <v>99</v>
      </c>
      <c r="D899">
        <f>VLOOKUP(A899,收盤價!A:C,3,0)</f>
        <v>115</v>
      </c>
      <c r="E899" s="187">
        <v>0.16161616161616163</v>
      </c>
      <c r="F899">
        <v>43.28</v>
      </c>
    </row>
    <row r="900" spans="1:6">
      <c r="A900">
        <v>4714</v>
      </c>
      <c r="B900" t="s">
        <v>389</v>
      </c>
      <c r="C900">
        <v>7.44</v>
      </c>
      <c r="D900">
        <f>VLOOKUP(A900,收盤價!A:C,3,0)</f>
        <v>8.64</v>
      </c>
      <c r="E900" s="187">
        <v>0.16129032258064518</v>
      </c>
      <c r="F900">
        <v>43.22</v>
      </c>
    </row>
    <row r="901" spans="1:6">
      <c r="A901">
        <v>4532</v>
      </c>
      <c r="B901" t="s">
        <v>1195</v>
      </c>
      <c r="C901">
        <v>20.149999999999999</v>
      </c>
      <c r="D901">
        <f>VLOOKUP(A901,收盤價!A:C,3,0)</f>
        <v>23.4</v>
      </c>
      <c r="E901" s="187">
        <v>0.16129032258064518</v>
      </c>
      <c r="F901">
        <v>43.15</v>
      </c>
    </row>
    <row r="902" spans="1:6">
      <c r="A902">
        <v>2916</v>
      </c>
      <c r="B902" t="s">
        <v>1465</v>
      </c>
      <c r="C902">
        <v>15.5</v>
      </c>
      <c r="D902">
        <f>VLOOKUP(A902,收盤價!A:C,3,0)</f>
        <v>18</v>
      </c>
      <c r="E902" s="187">
        <v>0.16129032258064516</v>
      </c>
      <c r="F902">
        <v>43.09</v>
      </c>
    </row>
    <row r="903" spans="1:6">
      <c r="A903">
        <v>6231</v>
      </c>
      <c r="B903" t="s">
        <v>478</v>
      </c>
      <c r="C903">
        <v>25.75</v>
      </c>
      <c r="D903">
        <f>VLOOKUP(A903,收盤價!A:C,3,0)</f>
        <v>29.9</v>
      </c>
      <c r="E903" s="187">
        <v>0.16116504854368927</v>
      </c>
      <c r="F903">
        <v>43.03</v>
      </c>
    </row>
    <row r="904" spans="1:6">
      <c r="A904">
        <v>3211</v>
      </c>
      <c r="B904" t="s">
        <v>1489</v>
      </c>
      <c r="C904">
        <v>45.3</v>
      </c>
      <c r="D904">
        <f>VLOOKUP(A904,收盤價!A:C,3,0)</f>
        <v>52.6</v>
      </c>
      <c r="E904" s="187">
        <v>0.16114790286975728</v>
      </c>
      <c r="F904">
        <v>42.97</v>
      </c>
    </row>
    <row r="905" spans="1:6">
      <c r="A905">
        <v>2501</v>
      </c>
      <c r="B905" t="s">
        <v>941</v>
      </c>
      <c r="C905">
        <v>11.8</v>
      </c>
      <c r="D905">
        <f>VLOOKUP(A905,收盤價!A:C,3,0)</f>
        <v>13.7</v>
      </c>
      <c r="E905" s="187">
        <v>0.16101694915254225</v>
      </c>
      <c r="F905">
        <v>42.9</v>
      </c>
    </row>
    <row r="906" spans="1:6">
      <c r="A906">
        <v>3054</v>
      </c>
      <c r="B906" t="s">
        <v>1092</v>
      </c>
      <c r="C906">
        <v>15.3</v>
      </c>
      <c r="D906">
        <f>VLOOKUP(A906,收盤價!A:C,3,0)</f>
        <v>17.75</v>
      </c>
      <c r="E906" s="187">
        <v>0.16013071895424832</v>
      </c>
      <c r="F906">
        <v>42.84</v>
      </c>
    </row>
    <row r="907" spans="1:6">
      <c r="A907">
        <v>1618</v>
      </c>
      <c r="B907" t="s">
        <v>697</v>
      </c>
      <c r="C907">
        <v>6.01</v>
      </c>
      <c r="D907">
        <f>VLOOKUP(A907,收盤價!A:C,3,0)</f>
        <v>6.97</v>
      </c>
      <c r="E907" s="187">
        <v>0.15973377703826955</v>
      </c>
      <c r="F907">
        <v>42.78</v>
      </c>
    </row>
    <row r="908" spans="1:6">
      <c r="A908">
        <v>2707</v>
      </c>
      <c r="B908" t="s">
        <v>993</v>
      </c>
      <c r="C908">
        <v>194.5</v>
      </c>
      <c r="D908">
        <f>VLOOKUP(A908,收盤價!A:C,3,0)</f>
        <v>225.5</v>
      </c>
      <c r="E908" s="187">
        <v>0.15938303341902313</v>
      </c>
      <c r="F908">
        <v>42.71</v>
      </c>
    </row>
    <row r="909" spans="1:6">
      <c r="A909">
        <v>5706</v>
      </c>
      <c r="B909" t="s">
        <v>1255</v>
      </c>
      <c r="C909">
        <v>34.200000000000003</v>
      </c>
      <c r="D909">
        <f>VLOOKUP(A909,收盤價!A:C,3,0)</f>
        <v>39.65</v>
      </c>
      <c r="E909" s="187">
        <v>0.1593567251461987</v>
      </c>
      <c r="F909">
        <v>42.65</v>
      </c>
    </row>
    <row r="910" spans="1:6">
      <c r="A910">
        <v>3276</v>
      </c>
      <c r="B910" t="s">
        <v>1499</v>
      </c>
      <c r="C910">
        <v>8.1</v>
      </c>
      <c r="D910">
        <f>VLOOKUP(A910,收盤價!A:C,3,0)</f>
        <v>9.39</v>
      </c>
      <c r="E910" s="187">
        <v>0.15925925925925938</v>
      </c>
      <c r="F910">
        <v>42.59</v>
      </c>
    </row>
    <row r="911" spans="1:6">
      <c r="A911">
        <v>5487</v>
      </c>
      <c r="B911" t="s">
        <v>440</v>
      </c>
      <c r="C911">
        <v>17.600000000000001</v>
      </c>
      <c r="D911">
        <f>VLOOKUP(A911,收盤價!A:C,3,0)</f>
        <v>20.399999999999999</v>
      </c>
      <c r="E911" s="187">
        <v>0.15909090909090892</v>
      </c>
      <c r="F911">
        <v>42.52</v>
      </c>
    </row>
    <row r="912" spans="1:6">
      <c r="A912">
        <v>6186</v>
      </c>
      <c r="B912" t="s">
        <v>467</v>
      </c>
      <c r="C912">
        <v>21.4</v>
      </c>
      <c r="D912">
        <f>VLOOKUP(A912,收盤價!A:C,3,0)</f>
        <v>24.8</v>
      </c>
      <c r="E912" s="187">
        <v>0.1588785046728973</v>
      </c>
      <c r="F912">
        <v>42.46</v>
      </c>
    </row>
    <row r="913" spans="1:6">
      <c r="A913">
        <v>1440</v>
      </c>
      <c r="B913" t="s">
        <v>614</v>
      </c>
      <c r="C913">
        <v>12.6</v>
      </c>
      <c r="D913">
        <f>VLOOKUP(A913,收盤價!A:C,3,0)</f>
        <v>14.6</v>
      </c>
      <c r="E913" s="187">
        <v>0.15873015873015872</v>
      </c>
      <c r="F913">
        <v>42.4</v>
      </c>
    </row>
    <row r="914" spans="1:6">
      <c r="A914">
        <v>3167</v>
      </c>
      <c r="B914" t="s">
        <v>1105</v>
      </c>
      <c r="C914">
        <v>24.9</v>
      </c>
      <c r="D914">
        <f>VLOOKUP(A914,收盤價!A:C,3,0)</f>
        <v>28.85</v>
      </c>
      <c r="E914" s="187">
        <v>0.15863453815261055</v>
      </c>
      <c r="F914">
        <v>42.33</v>
      </c>
    </row>
    <row r="915" spans="1:6">
      <c r="A915">
        <v>6251</v>
      </c>
      <c r="B915" t="s">
        <v>1308</v>
      </c>
      <c r="C915">
        <v>8.08</v>
      </c>
      <c r="D915">
        <f>VLOOKUP(A915,收盤價!A:C,3,0)</f>
        <v>9.36</v>
      </c>
      <c r="E915" s="187">
        <v>0.15841584158415833</v>
      </c>
      <c r="F915">
        <v>42.27</v>
      </c>
    </row>
    <row r="916" spans="1:6">
      <c r="A916">
        <v>1326</v>
      </c>
      <c r="B916" t="s">
        <v>592</v>
      </c>
      <c r="C916">
        <v>62.1</v>
      </c>
      <c r="D916">
        <f>VLOOKUP(A916,收盤價!A:C,3,0)</f>
        <v>71.900000000000006</v>
      </c>
      <c r="E916" s="187">
        <v>0.15780998389694048</v>
      </c>
      <c r="F916">
        <v>42.21</v>
      </c>
    </row>
    <row r="917" spans="1:6">
      <c r="A917">
        <v>3081</v>
      </c>
      <c r="B917" t="s">
        <v>1473</v>
      </c>
      <c r="C917">
        <v>362</v>
      </c>
      <c r="D917">
        <f>VLOOKUP(A917,收盤價!A:C,3,0)</f>
        <v>419</v>
      </c>
      <c r="E917" s="187">
        <v>0.15745856353591159</v>
      </c>
      <c r="F917">
        <v>42.15</v>
      </c>
    </row>
    <row r="918" spans="1:6">
      <c r="A918">
        <v>1788</v>
      </c>
      <c r="B918" t="s">
        <v>1451</v>
      </c>
      <c r="C918">
        <v>82.1</v>
      </c>
      <c r="D918">
        <f>VLOOKUP(A918,收盤價!A:C,3,0)</f>
        <v>95</v>
      </c>
      <c r="E918" s="187">
        <v>0.1571254567600488</v>
      </c>
      <c r="F918">
        <v>42.08</v>
      </c>
    </row>
    <row r="919" spans="1:6">
      <c r="A919">
        <v>6276</v>
      </c>
      <c r="B919" t="s">
        <v>492</v>
      </c>
      <c r="C919">
        <v>6.69</v>
      </c>
      <c r="D919">
        <f>VLOOKUP(A919,收盤價!A:C,3,0)</f>
        <v>7.74</v>
      </c>
      <c r="E919" s="187">
        <v>0.15695067264573986</v>
      </c>
      <c r="F919">
        <v>42.02</v>
      </c>
    </row>
    <row r="920" spans="1:6">
      <c r="A920">
        <v>9902</v>
      </c>
      <c r="B920" t="s">
        <v>1400</v>
      </c>
      <c r="C920">
        <v>8.73</v>
      </c>
      <c r="D920">
        <f>VLOOKUP(A920,收盤價!A:C,3,0)</f>
        <v>10.1</v>
      </c>
      <c r="E920" s="187">
        <v>0.15693012600229087</v>
      </c>
      <c r="F920">
        <v>41.96</v>
      </c>
    </row>
    <row r="921" spans="1:6">
      <c r="A921">
        <v>5011</v>
      </c>
      <c r="B921" t="s">
        <v>403</v>
      </c>
      <c r="C921">
        <v>21.7</v>
      </c>
      <c r="D921">
        <f>VLOOKUP(A921,收盤價!A:C,3,0)</f>
        <v>25.1</v>
      </c>
      <c r="E921" s="187">
        <v>0.15668202764976968</v>
      </c>
      <c r="F921">
        <v>41.89</v>
      </c>
    </row>
    <row r="922" spans="1:6">
      <c r="A922">
        <v>3259</v>
      </c>
      <c r="B922" t="s">
        <v>1496</v>
      </c>
      <c r="C922">
        <v>24.35</v>
      </c>
      <c r="D922">
        <f>VLOOKUP(A922,收盤價!A:C,3,0)</f>
        <v>28.15</v>
      </c>
      <c r="E922" s="187">
        <v>0.15605749486652964</v>
      </c>
      <c r="F922">
        <v>41.83</v>
      </c>
    </row>
    <row r="923" spans="1:6">
      <c r="A923">
        <v>3323</v>
      </c>
      <c r="B923" t="s">
        <v>319</v>
      </c>
      <c r="C923">
        <v>15.7</v>
      </c>
      <c r="D923">
        <f>VLOOKUP(A923,收盤價!A:C,3,0)</f>
        <v>18.149999999999999</v>
      </c>
      <c r="E923" s="187">
        <v>0.1560509554140127</v>
      </c>
      <c r="F923">
        <v>41.77</v>
      </c>
    </row>
    <row r="924" spans="1:6">
      <c r="A924">
        <v>1537</v>
      </c>
      <c r="B924" t="s">
        <v>672</v>
      </c>
      <c r="C924">
        <v>109</v>
      </c>
      <c r="D924">
        <f>VLOOKUP(A924,收盤價!A:C,3,0)</f>
        <v>126</v>
      </c>
      <c r="E924" s="187">
        <v>0.15596330275229359</v>
      </c>
      <c r="F924">
        <v>41.7</v>
      </c>
    </row>
    <row r="925" spans="1:6">
      <c r="A925">
        <v>6702</v>
      </c>
      <c r="B925" t="s">
        <v>1336</v>
      </c>
      <c r="C925">
        <v>6.29</v>
      </c>
      <c r="D925">
        <f>VLOOKUP(A925,收盤價!A:C,3,0)</f>
        <v>7.27</v>
      </c>
      <c r="E925" s="187">
        <v>0.15580286168521454</v>
      </c>
      <c r="F925">
        <v>41.64</v>
      </c>
    </row>
    <row r="926" spans="1:6">
      <c r="A926">
        <v>5276</v>
      </c>
      <c r="B926" t="s">
        <v>1651</v>
      </c>
      <c r="C926">
        <v>19.899999999999999</v>
      </c>
      <c r="D926">
        <f>VLOOKUP(A926,收盤價!A:C,3,0)</f>
        <v>23</v>
      </c>
      <c r="E926" s="187">
        <v>0.1557788944723619</v>
      </c>
      <c r="F926">
        <v>41.58</v>
      </c>
    </row>
    <row r="927" spans="1:6">
      <c r="A927">
        <v>9925</v>
      </c>
      <c r="B927" t="s">
        <v>1415</v>
      </c>
      <c r="C927">
        <v>33.9</v>
      </c>
      <c r="D927">
        <f>VLOOKUP(A927,收盤價!A:C,3,0)</f>
        <v>39.15</v>
      </c>
      <c r="E927" s="187">
        <v>0.15486725663716816</v>
      </c>
      <c r="F927">
        <v>41.51</v>
      </c>
    </row>
    <row r="928" spans="1:6">
      <c r="A928">
        <v>8150</v>
      </c>
      <c r="B928" t="s">
        <v>1353</v>
      </c>
      <c r="C928">
        <v>29.45</v>
      </c>
      <c r="D928">
        <f>VLOOKUP(A928,收盤價!A:C,3,0)</f>
        <v>34</v>
      </c>
      <c r="E928" s="187">
        <v>0.15449915110356538</v>
      </c>
      <c r="F928">
        <v>41.45</v>
      </c>
    </row>
    <row r="929" spans="1:6">
      <c r="A929">
        <v>9103</v>
      </c>
      <c r="B929" t="s">
        <v>1376</v>
      </c>
      <c r="C929">
        <v>1.75</v>
      </c>
      <c r="D929">
        <f>VLOOKUP(A929,收盤價!A:C,3,0)</f>
        <v>2.02</v>
      </c>
      <c r="E929" s="187">
        <v>0.1542857142857143</v>
      </c>
      <c r="F929">
        <v>41.39</v>
      </c>
    </row>
    <row r="930" spans="1:6">
      <c r="A930">
        <v>2360</v>
      </c>
      <c r="B930" t="s">
        <v>836</v>
      </c>
      <c r="C930">
        <v>49.65</v>
      </c>
      <c r="D930">
        <f>VLOOKUP(A930,收盤價!A:C,3,0)</f>
        <v>57.3</v>
      </c>
      <c r="E930" s="187">
        <v>0.15407854984894256</v>
      </c>
      <c r="F930">
        <v>41.32</v>
      </c>
    </row>
    <row r="931" spans="1:6">
      <c r="A931">
        <v>5212</v>
      </c>
      <c r="B931" t="s">
        <v>1645</v>
      </c>
      <c r="C931">
        <v>18.2</v>
      </c>
      <c r="D931">
        <f>VLOOKUP(A931,收盤價!A:C,3,0)</f>
        <v>21</v>
      </c>
      <c r="E931" s="187">
        <v>0.15384615384615388</v>
      </c>
      <c r="F931">
        <v>41.26</v>
      </c>
    </row>
    <row r="932" spans="1:6">
      <c r="A932">
        <v>3438</v>
      </c>
      <c r="B932" t="s">
        <v>1518</v>
      </c>
      <c r="C932">
        <v>15.6</v>
      </c>
      <c r="D932">
        <f>VLOOKUP(A932,收盤價!A:C,3,0)</f>
        <v>18</v>
      </c>
      <c r="E932" s="187">
        <v>0.15384615384615388</v>
      </c>
      <c r="F932">
        <v>41.2</v>
      </c>
    </row>
    <row r="933" spans="1:6">
      <c r="A933">
        <v>8024</v>
      </c>
      <c r="B933" t="s">
        <v>500</v>
      </c>
      <c r="C933">
        <v>9.49</v>
      </c>
      <c r="D933">
        <f>VLOOKUP(A933,收盤價!A:C,3,0)</f>
        <v>10.95</v>
      </c>
      <c r="E933" s="187">
        <v>0.15384615384615374</v>
      </c>
      <c r="F933">
        <v>41.14</v>
      </c>
    </row>
    <row r="934" spans="1:6">
      <c r="A934">
        <v>6124</v>
      </c>
      <c r="B934" t="s">
        <v>1720</v>
      </c>
      <c r="C934">
        <v>21.5</v>
      </c>
      <c r="D934">
        <f>VLOOKUP(A934,收盤價!A:C,3,0)</f>
        <v>24.8</v>
      </c>
      <c r="E934" s="187">
        <v>0.1534883720930233</v>
      </c>
      <c r="F934">
        <v>41.07</v>
      </c>
    </row>
    <row r="935" spans="1:6">
      <c r="A935">
        <v>1104</v>
      </c>
      <c r="B935" t="s">
        <v>550</v>
      </c>
      <c r="C935">
        <v>19.899999999999999</v>
      </c>
      <c r="D935">
        <f>VLOOKUP(A935,收盤價!A:C,3,0)</f>
        <v>22.95</v>
      </c>
      <c r="E935" s="187">
        <v>0.15326633165829151</v>
      </c>
      <c r="F935">
        <v>41.01</v>
      </c>
    </row>
    <row r="936" spans="1:6">
      <c r="A936">
        <v>1609</v>
      </c>
      <c r="B936" t="s">
        <v>689</v>
      </c>
      <c r="C936">
        <v>4.05</v>
      </c>
      <c r="D936">
        <f>VLOOKUP(A936,收盤價!A:C,3,0)</f>
        <v>4.67</v>
      </c>
      <c r="E936" s="187">
        <v>0.15308641975308646</v>
      </c>
      <c r="F936">
        <v>40.950000000000003</v>
      </c>
    </row>
    <row r="937" spans="1:6">
      <c r="A937">
        <v>2430</v>
      </c>
      <c r="B937" t="s">
        <v>886</v>
      </c>
      <c r="C937">
        <v>17.649999999999999</v>
      </c>
      <c r="D937">
        <f>VLOOKUP(A937,收盤價!A:C,3,0)</f>
        <v>20.350000000000001</v>
      </c>
      <c r="E937" s="187">
        <v>0.15297450424929196</v>
      </c>
      <c r="F937">
        <v>40.880000000000003</v>
      </c>
    </row>
    <row r="938" spans="1:6">
      <c r="A938">
        <v>4977</v>
      </c>
      <c r="B938" t="s">
        <v>1223</v>
      </c>
      <c r="C938">
        <v>52.5</v>
      </c>
      <c r="D938">
        <f>VLOOKUP(A938,收盤價!A:C,3,0)</f>
        <v>60.5</v>
      </c>
      <c r="E938" s="187">
        <v>0.15238095238095239</v>
      </c>
      <c r="F938">
        <v>40.82</v>
      </c>
    </row>
    <row r="939" spans="1:6">
      <c r="A939">
        <v>1451</v>
      </c>
      <c r="B939" t="s">
        <v>623</v>
      </c>
      <c r="C939">
        <v>18.100000000000001</v>
      </c>
      <c r="D939">
        <f>VLOOKUP(A939,收盤價!A:C,3,0)</f>
        <v>20.85</v>
      </c>
      <c r="E939" s="187">
        <v>0.15193370165745856</v>
      </c>
      <c r="F939">
        <v>40.76</v>
      </c>
    </row>
    <row r="940" spans="1:6">
      <c r="A940">
        <v>1712</v>
      </c>
      <c r="B940" t="s">
        <v>707</v>
      </c>
      <c r="C940">
        <v>12.2</v>
      </c>
      <c r="D940">
        <f>VLOOKUP(A940,收盤價!A:C,3,0)</f>
        <v>14.05</v>
      </c>
      <c r="E940" s="187">
        <v>0.15163934426229519</v>
      </c>
      <c r="F940">
        <v>40.69</v>
      </c>
    </row>
    <row r="941" spans="1:6">
      <c r="A941">
        <v>2365</v>
      </c>
      <c r="B941" t="s">
        <v>841</v>
      </c>
      <c r="C941">
        <v>7.92</v>
      </c>
      <c r="D941">
        <f>VLOOKUP(A941,收盤價!A:C,3,0)</f>
        <v>9.1199999999999992</v>
      </c>
      <c r="E941" s="187">
        <v>0.15151515151515144</v>
      </c>
      <c r="F941">
        <v>40.630000000000003</v>
      </c>
    </row>
    <row r="942" spans="1:6">
      <c r="A942">
        <v>6508</v>
      </c>
      <c r="B942" t="s">
        <v>496</v>
      </c>
      <c r="C942">
        <v>24.8</v>
      </c>
      <c r="D942">
        <f>VLOOKUP(A942,收盤價!A:C,3,0)</f>
        <v>28.55</v>
      </c>
      <c r="E942" s="187">
        <v>0.15120967741935484</v>
      </c>
      <c r="F942">
        <v>40.57</v>
      </c>
    </row>
    <row r="943" spans="1:6">
      <c r="A943">
        <v>3144</v>
      </c>
      <c r="B943" t="s">
        <v>294</v>
      </c>
      <c r="C943">
        <v>13.95</v>
      </c>
      <c r="D943">
        <f>VLOOKUP(A943,收盤價!A:C,3,0)</f>
        <v>16.05</v>
      </c>
      <c r="E943" s="187">
        <v>0.15053763440860227</v>
      </c>
      <c r="F943">
        <v>40.5</v>
      </c>
    </row>
    <row r="944" spans="1:6">
      <c r="A944">
        <v>2313</v>
      </c>
      <c r="B944" t="s">
        <v>804</v>
      </c>
      <c r="C944">
        <v>18.95</v>
      </c>
      <c r="D944">
        <f>VLOOKUP(A944,收盤價!A:C,3,0)</f>
        <v>21.8</v>
      </c>
      <c r="E944" s="187">
        <v>0.15039577836411619</v>
      </c>
      <c r="F944">
        <v>40.44</v>
      </c>
    </row>
    <row r="945" spans="1:6">
      <c r="A945">
        <v>1514</v>
      </c>
      <c r="B945" t="s">
        <v>653</v>
      </c>
      <c r="C945">
        <v>7.39</v>
      </c>
      <c r="D945">
        <f>VLOOKUP(A945,收盤價!A:C,3,0)</f>
        <v>8.5</v>
      </c>
      <c r="E945" s="187">
        <v>0.15020297699594051</v>
      </c>
      <c r="F945">
        <v>40.380000000000003</v>
      </c>
    </row>
    <row r="946" spans="1:6">
      <c r="A946">
        <v>4938</v>
      </c>
      <c r="B946" t="s">
        <v>1216</v>
      </c>
      <c r="C946">
        <v>74.8</v>
      </c>
      <c r="D946">
        <f>VLOOKUP(A946,收盤價!A:C,3,0)</f>
        <v>86</v>
      </c>
      <c r="E946" s="187">
        <v>0.14973262032085566</v>
      </c>
      <c r="F946">
        <v>40.32</v>
      </c>
    </row>
    <row r="947" spans="1:6">
      <c r="A947">
        <v>6270</v>
      </c>
      <c r="B947" t="s">
        <v>1762</v>
      </c>
      <c r="C947">
        <v>9.09</v>
      </c>
      <c r="D947">
        <f>VLOOKUP(A947,收盤價!A:C,3,0)</f>
        <v>10.45</v>
      </c>
      <c r="E947" s="187">
        <v>0.14961496149614956</v>
      </c>
      <c r="F947">
        <v>40.25</v>
      </c>
    </row>
    <row r="948" spans="1:6">
      <c r="A948">
        <v>2375</v>
      </c>
      <c r="B948" t="s">
        <v>848</v>
      </c>
      <c r="C948">
        <v>12.7</v>
      </c>
      <c r="D948">
        <f>VLOOKUP(A948,收盤價!A:C,3,0)</f>
        <v>14.6</v>
      </c>
      <c r="E948" s="187">
        <v>0.14960629921259846</v>
      </c>
      <c r="F948">
        <v>40.19</v>
      </c>
    </row>
    <row r="949" spans="1:6">
      <c r="A949">
        <v>1446</v>
      </c>
      <c r="B949" t="s">
        <v>620</v>
      </c>
      <c r="C949">
        <v>18.05</v>
      </c>
      <c r="D949">
        <f>VLOOKUP(A949,收盤價!A:C,3,0)</f>
        <v>20.75</v>
      </c>
      <c r="E949" s="187">
        <v>0.149584487534626</v>
      </c>
      <c r="F949">
        <v>40.130000000000003</v>
      </c>
    </row>
    <row r="950" spans="1:6">
      <c r="A950">
        <v>2801</v>
      </c>
      <c r="B950" t="s">
        <v>999</v>
      </c>
      <c r="C950">
        <v>14.1</v>
      </c>
      <c r="D950">
        <f>VLOOKUP(A950,收盤價!A:C,3,0)</f>
        <v>16.2</v>
      </c>
      <c r="E950" s="187">
        <v>0.14893617021276592</v>
      </c>
      <c r="F950">
        <v>40.06</v>
      </c>
    </row>
    <row r="951" spans="1:6">
      <c r="A951">
        <v>1438</v>
      </c>
      <c r="B951" t="s">
        <v>612</v>
      </c>
      <c r="C951">
        <v>4.05</v>
      </c>
      <c r="D951">
        <f>VLOOKUP(A951,收盤價!A:C,3,0)</f>
        <v>4.6500000000000004</v>
      </c>
      <c r="E951" s="187">
        <v>0.14814814814814828</v>
      </c>
      <c r="F951">
        <v>40</v>
      </c>
    </row>
    <row r="952" spans="1:6">
      <c r="A952">
        <v>1802</v>
      </c>
      <c r="B952" t="s">
        <v>735</v>
      </c>
      <c r="C952">
        <v>10.8</v>
      </c>
      <c r="D952">
        <f>VLOOKUP(A952,收盤價!A:C,3,0)</f>
        <v>12.4</v>
      </c>
      <c r="E952" s="187">
        <v>0.14814814814814811</v>
      </c>
      <c r="F952">
        <v>39.94</v>
      </c>
    </row>
    <row r="953" spans="1:6">
      <c r="A953">
        <v>1314</v>
      </c>
      <c r="B953" t="s">
        <v>584</v>
      </c>
      <c r="C953">
        <v>6.97</v>
      </c>
      <c r="D953">
        <f>VLOOKUP(A953,收盤價!A:C,3,0)</f>
        <v>8</v>
      </c>
      <c r="E953" s="187">
        <v>0.14777618364418943</v>
      </c>
      <c r="F953">
        <v>39.869999999999997</v>
      </c>
    </row>
    <row r="954" spans="1:6">
      <c r="A954">
        <v>3024</v>
      </c>
      <c r="B954" t="s">
        <v>1064</v>
      </c>
      <c r="C954">
        <v>3.6</v>
      </c>
      <c r="D954">
        <f>VLOOKUP(A954,收盤價!A:C,3,0)</f>
        <v>4.13</v>
      </c>
      <c r="E954" s="187">
        <v>0.14722222222222217</v>
      </c>
      <c r="F954">
        <v>39.81</v>
      </c>
    </row>
    <row r="955" spans="1:6">
      <c r="A955">
        <v>9188</v>
      </c>
      <c r="B955" t="s">
        <v>1398</v>
      </c>
      <c r="C955">
        <v>3.47</v>
      </c>
      <c r="D955">
        <f>VLOOKUP(A955,收盤價!A:C,3,0)</f>
        <v>3.98</v>
      </c>
      <c r="E955" s="187">
        <v>0.14697406340057631</v>
      </c>
      <c r="F955">
        <v>39.75</v>
      </c>
    </row>
    <row r="956" spans="1:6">
      <c r="A956">
        <v>1217</v>
      </c>
      <c r="B956" t="s">
        <v>559</v>
      </c>
      <c r="C956">
        <v>6.33</v>
      </c>
      <c r="D956">
        <f>VLOOKUP(A956,收盤價!A:C,3,0)</f>
        <v>7.26</v>
      </c>
      <c r="E956" s="187">
        <v>0.14691943127962082</v>
      </c>
      <c r="F956">
        <v>39.68</v>
      </c>
    </row>
    <row r="957" spans="1:6">
      <c r="A957">
        <v>1203</v>
      </c>
      <c r="B957" t="s">
        <v>554</v>
      </c>
      <c r="C957">
        <v>20.149999999999999</v>
      </c>
      <c r="D957">
        <f>VLOOKUP(A957,收盤價!A:C,3,0)</f>
        <v>23.1</v>
      </c>
      <c r="E957" s="187">
        <v>0.14640198511166269</v>
      </c>
      <c r="F957">
        <v>39.619999999999997</v>
      </c>
    </row>
    <row r="958" spans="1:6">
      <c r="A958">
        <v>4523</v>
      </c>
      <c r="B958" t="s">
        <v>1603</v>
      </c>
      <c r="C958">
        <v>15.85</v>
      </c>
      <c r="D958">
        <f>VLOOKUP(A958,收盤價!A:C,3,0)</f>
        <v>18.149999999999999</v>
      </c>
      <c r="E958" s="187">
        <v>0.14511041009463715</v>
      </c>
      <c r="F958">
        <v>39.56</v>
      </c>
    </row>
    <row r="959" spans="1:6">
      <c r="A959">
        <v>3702</v>
      </c>
      <c r="B959" t="s">
        <v>1176</v>
      </c>
      <c r="C959">
        <v>28.6</v>
      </c>
      <c r="D959">
        <f>VLOOKUP(A959,收盤價!A:C,3,0)</f>
        <v>32.75</v>
      </c>
      <c r="E959" s="187">
        <v>0.14510489510489505</v>
      </c>
      <c r="F959">
        <v>39.5</v>
      </c>
    </row>
    <row r="960" spans="1:6">
      <c r="A960">
        <v>4706</v>
      </c>
      <c r="B960" t="s">
        <v>1613</v>
      </c>
      <c r="C960">
        <v>13.1</v>
      </c>
      <c r="D960">
        <f>VLOOKUP(A960,收盤價!A:C,3,0)</f>
        <v>15</v>
      </c>
      <c r="E960" s="187">
        <v>0.14503816793893132</v>
      </c>
      <c r="F960">
        <v>39.43</v>
      </c>
    </row>
    <row r="961" spans="1:6">
      <c r="A961">
        <v>4128</v>
      </c>
      <c r="B961" t="s">
        <v>1572</v>
      </c>
      <c r="C961">
        <v>23.8</v>
      </c>
      <c r="D961">
        <f>VLOOKUP(A961,收盤價!A:C,3,0)</f>
        <v>27.25</v>
      </c>
      <c r="E961" s="187">
        <v>0.14495798319327727</v>
      </c>
      <c r="F961">
        <v>39.369999999999997</v>
      </c>
    </row>
    <row r="962" spans="1:6">
      <c r="A962">
        <v>3021</v>
      </c>
      <c r="B962" t="s">
        <v>1061</v>
      </c>
      <c r="C962">
        <v>10.35</v>
      </c>
      <c r="D962">
        <f>VLOOKUP(A962,收盤價!A:C,3,0)</f>
        <v>11.85</v>
      </c>
      <c r="E962" s="187">
        <v>0.14492753623188406</v>
      </c>
      <c r="F962">
        <v>39.31</v>
      </c>
    </row>
    <row r="963" spans="1:6">
      <c r="A963">
        <v>5353</v>
      </c>
      <c r="B963" t="s">
        <v>1666</v>
      </c>
      <c r="C963">
        <v>8.1</v>
      </c>
      <c r="D963">
        <f>VLOOKUP(A963,收盤價!A:C,3,0)</f>
        <v>9.27</v>
      </c>
      <c r="E963" s="187">
        <v>0.14444444444444443</v>
      </c>
      <c r="F963">
        <v>39.24</v>
      </c>
    </row>
    <row r="964" spans="1:6">
      <c r="A964">
        <v>1519</v>
      </c>
      <c r="B964" t="s">
        <v>657</v>
      </c>
      <c r="C964">
        <v>13.5</v>
      </c>
      <c r="D964">
        <f>VLOOKUP(A964,收盤價!A:C,3,0)</f>
        <v>15.45</v>
      </c>
      <c r="E964" s="187">
        <v>0.1444444444444444</v>
      </c>
      <c r="F964">
        <v>39.18</v>
      </c>
    </row>
    <row r="965" spans="1:6">
      <c r="A965">
        <v>3390</v>
      </c>
      <c r="B965" t="s">
        <v>1515</v>
      </c>
      <c r="C965">
        <v>13.5</v>
      </c>
      <c r="D965">
        <f>VLOOKUP(A965,收盤價!A:C,3,0)</f>
        <v>15.45</v>
      </c>
      <c r="E965" s="187">
        <v>0.1444444444444444</v>
      </c>
      <c r="F965">
        <v>39.119999999999997</v>
      </c>
    </row>
    <row r="966" spans="1:6">
      <c r="A966">
        <v>1210</v>
      </c>
      <c r="B966" t="s">
        <v>555</v>
      </c>
      <c r="C966">
        <v>16.649999999999999</v>
      </c>
      <c r="D966">
        <f>VLOOKUP(A966,收盤價!A:C,3,0)</f>
        <v>19.05</v>
      </c>
      <c r="E966" s="187">
        <v>0.14414414414414428</v>
      </c>
      <c r="F966">
        <v>39.049999999999997</v>
      </c>
    </row>
    <row r="967" spans="1:6">
      <c r="A967">
        <v>2889</v>
      </c>
      <c r="B967" t="s">
        <v>1028</v>
      </c>
      <c r="C967">
        <v>6.82</v>
      </c>
      <c r="D967">
        <f>VLOOKUP(A967,收盤價!A:C,3,0)</f>
        <v>7.8</v>
      </c>
      <c r="E967" s="187">
        <v>0.14369501466275653</v>
      </c>
      <c r="F967">
        <v>38.99</v>
      </c>
    </row>
    <row r="968" spans="1:6">
      <c r="A968">
        <v>3018</v>
      </c>
      <c r="B968" t="s">
        <v>1059</v>
      </c>
      <c r="C968">
        <v>15.35</v>
      </c>
      <c r="D968">
        <f>VLOOKUP(A968,收盤價!A:C,3,0)</f>
        <v>17.55</v>
      </c>
      <c r="E968" s="187">
        <v>0.14332247557003264</v>
      </c>
      <c r="F968">
        <v>38.93</v>
      </c>
    </row>
    <row r="969" spans="1:6">
      <c r="A969">
        <v>3557</v>
      </c>
      <c r="B969" t="s">
        <v>1147</v>
      </c>
      <c r="C969">
        <v>3.63</v>
      </c>
      <c r="D969">
        <f>VLOOKUP(A969,收盤價!A:C,3,0)</f>
        <v>4.1500000000000004</v>
      </c>
      <c r="E969" s="187">
        <v>0.1432506887052343</v>
      </c>
      <c r="F969">
        <v>38.86</v>
      </c>
    </row>
    <row r="970" spans="1:6">
      <c r="A970">
        <v>3526</v>
      </c>
      <c r="B970" t="s">
        <v>1532</v>
      </c>
      <c r="C970">
        <v>18.850000000000001</v>
      </c>
      <c r="D970">
        <f>VLOOKUP(A970,收盤價!A:C,3,0)</f>
        <v>21.55</v>
      </c>
      <c r="E970" s="187">
        <v>0.14323607427055698</v>
      </c>
      <c r="F970">
        <v>38.799999999999997</v>
      </c>
    </row>
    <row r="971" spans="1:6">
      <c r="A971">
        <v>3531</v>
      </c>
      <c r="B971" t="s">
        <v>1534</v>
      </c>
      <c r="C971">
        <v>12.95</v>
      </c>
      <c r="D971">
        <f>VLOOKUP(A971,收盤價!A:C,3,0)</f>
        <v>14.8</v>
      </c>
      <c r="E971" s="187">
        <v>0.14285714285714299</v>
      </c>
      <c r="F971">
        <v>38.74</v>
      </c>
    </row>
    <row r="972" spans="1:6">
      <c r="A972">
        <v>6412</v>
      </c>
      <c r="B972" t="s">
        <v>1322</v>
      </c>
      <c r="C972">
        <v>28.35</v>
      </c>
      <c r="D972">
        <f>VLOOKUP(A972,收盤價!A:C,3,0)</f>
        <v>32.4</v>
      </c>
      <c r="E972" s="187">
        <v>0.14285714285714274</v>
      </c>
      <c r="F972">
        <v>38.68</v>
      </c>
    </row>
    <row r="973" spans="1:6">
      <c r="A973">
        <v>3285</v>
      </c>
      <c r="B973" t="s">
        <v>312</v>
      </c>
      <c r="C973">
        <v>27.9</v>
      </c>
      <c r="D973">
        <f>VLOOKUP(A973,收盤價!A:C,3,0)</f>
        <v>31.85</v>
      </c>
      <c r="E973" s="187">
        <v>0.14157706093189976</v>
      </c>
      <c r="F973">
        <v>38.61</v>
      </c>
    </row>
    <row r="974" spans="1:6">
      <c r="A974">
        <v>5230</v>
      </c>
      <c r="B974" t="s">
        <v>409</v>
      </c>
      <c r="C974">
        <v>43.8</v>
      </c>
      <c r="D974">
        <f>VLOOKUP(A974,收盤價!A:C,3,0)</f>
        <v>50</v>
      </c>
      <c r="E974" s="187">
        <v>0.14155251141552519</v>
      </c>
      <c r="F974">
        <v>38.549999999999997</v>
      </c>
    </row>
    <row r="975" spans="1:6">
      <c r="A975">
        <v>9951</v>
      </c>
      <c r="B975" t="s">
        <v>1852</v>
      </c>
      <c r="C975">
        <v>134.5</v>
      </c>
      <c r="D975">
        <f>VLOOKUP(A975,收盤價!A:C,3,0)</f>
        <v>153.5</v>
      </c>
      <c r="E975" s="187">
        <v>0.14126394052044611</v>
      </c>
      <c r="F975">
        <v>38.49</v>
      </c>
    </row>
    <row r="976" spans="1:6">
      <c r="A976">
        <v>8926</v>
      </c>
      <c r="B976" t="s">
        <v>1373</v>
      </c>
      <c r="C976">
        <v>20.2</v>
      </c>
      <c r="D976">
        <f>VLOOKUP(A976,收盤價!A:C,3,0)</f>
        <v>23.05</v>
      </c>
      <c r="E976" s="187">
        <v>0.14108910891089116</v>
      </c>
      <c r="F976">
        <v>38.42</v>
      </c>
    </row>
    <row r="977" spans="1:6">
      <c r="A977">
        <v>6188</v>
      </c>
      <c r="B977" t="s">
        <v>1741</v>
      </c>
      <c r="C977">
        <v>17.05</v>
      </c>
      <c r="D977">
        <f>VLOOKUP(A977,收盤價!A:C,3,0)</f>
        <v>19.45</v>
      </c>
      <c r="E977" s="187">
        <v>0.14076246334310841</v>
      </c>
      <c r="F977">
        <v>38.36</v>
      </c>
    </row>
    <row r="978" spans="1:6">
      <c r="A978">
        <v>6192</v>
      </c>
      <c r="B978" t="s">
        <v>1289</v>
      </c>
      <c r="C978">
        <v>39.5</v>
      </c>
      <c r="D978">
        <f>VLOOKUP(A978,收盤價!A:C,3,0)</f>
        <v>45.05</v>
      </c>
      <c r="E978" s="187">
        <v>0.14050632911392397</v>
      </c>
      <c r="F978">
        <v>38.299999999999997</v>
      </c>
    </row>
    <row r="979" spans="1:6">
      <c r="A979">
        <v>3661</v>
      </c>
      <c r="B979" t="s">
        <v>1166</v>
      </c>
      <c r="C979">
        <v>35.950000000000003</v>
      </c>
      <c r="D979">
        <f>VLOOKUP(A979,收盤價!A:C,3,0)</f>
        <v>41</v>
      </c>
      <c r="E979" s="187">
        <v>0.14047287899860908</v>
      </c>
      <c r="F979">
        <v>38.229999999999997</v>
      </c>
    </row>
    <row r="980" spans="1:6">
      <c r="A980">
        <v>2443</v>
      </c>
      <c r="B980" t="s">
        <v>897</v>
      </c>
      <c r="C980">
        <v>6.7</v>
      </c>
      <c r="D980">
        <f>VLOOKUP(A980,收盤價!A:C,3,0)</f>
        <v>7.64</v>
      </c>
      <c r="E980" s="187">
        <v>0.14029850746268649</v>
      </c>
      <c r="F980">
        <v>38.17</v>
      </c>
    </row>
    <row r="981" spans="1:6">
      <c r="A981">
        <v>5314</v>
      </c>
      <c r="B981" t="s">
        <v>1657</v>
      </c>
      <c r="C981">
        <v>6</v>
      </c>
      <c r="D981">
        <f>VLOOKUP(A981,收盤價!A:C,3,0)</f>
        <v>6.84</v>
      </c>
      <c r="E981" s="187">
        <v>0.13999999999999999</v>
      </c>
      <c r="F981">
        <v>38.11</v>
      </c>
    </row>
    <row r="982" spans="1:6">
      <c r="A982">
        <v>1413</v>
      </c>
      <c r="B982" t="s">
        <v>600</v>
      </c>
      <c r="C982">
        <v>7.01</v>
      </c>
      <c r="D982">
        <f>VLOOKUP(A982,收盤價!A:C,3,0)</f>
        <v>7.99</v>
      </c>
      <c r="E982" s="187">
        <v>0.13980028530670477</v>
      </c>
      <c r="F982">
        <v>38.04</v>
      </c>
    </row>
    <row r="983" spans="1:6">
      <c r="A983">
        <v>2497</v>
      </c>
      <c r="B983" t="s">
        <v>938</v>
      </c>
      <c r="C983">
        <v>36.5</v>
      </c>
      <c r="D983">
        <f>VLOOKUP(A983,收盤價!A:C,3,0)</f>
        <v>41.6</v>
      </c>
      <c r="E983" s="187">
        <v>0.13972602739726031</v>
      </c>
      <c r="F983">
        <v>37.979999999999997</v>
      </c>
    </row>
    <row r="984" spans="1:6">
      <c r="A984">
        <v>2448</v>
      </c>
      <c r="B984" t="s">
        <v>899</v>
      </c>
      <c r="C984">
        <v>21.5</v>
      </c>
      <c r="D984">
        <f>VLOOKUP(A984,收盤價!A:C,3,0)</f>
        <v>24.5</v>
      </c>
      <c r="E984" s="187">
        <v>0.13953488372093023</v>
      </c>
      <c r="F984">
        <v>37.92</v>
      </c>
    </row>
    <row r="985" spans="1:6">
      <c r="A985">
        <v>2545</v>
      </c>
      <c r="B985" t="s">
        <v>964</v>
      </c>
      <c r="C985">
        <v>22.4</v>
      </c>
      <c r="D985">
        <f>VLOOKUP(A985,收盤價!A:C,3,0)</f>
        <v>25.5</v>
      </c>
      <c r="E985" s="187">
        <v>0.13839285714285721</v>
      </c>
      <c r="F985">
        <v>37.85</v>
      </c>
    </row>
    <row r="986" spans="1:6">
      <c r="A986">
        <v>6166</v>
      </c>
      <c r="B986" t="s">
        <v>1280</v>
      </c>
      <c r="C986">
        <v>71.5</v>
      </c>
      <c r="D986">
        <f>VLOOKUP(A986,收盤價!A:C,3,0)</f>
        <v>81.3</v>
      </c>
      <c r="E986" s="187">
        <v>0.13706293706293701</v>
      </c>
      <c r="F986">
        <v>37.79</v>
      </c>
    </row>
    <row r="987" spans="1:6">
      <c r="A987">
        <v>2311</v>
      </c>
      <c r="B987" t="s">
        <v>802</v>
      </c>
      <c r="C987">
        <v>31.8</v>
      </c>
      <c r="D987">
        <f>VLOOKUP(A987,收盤價!A:C,3,0)</f>
        <v>36.15</v>
      </c>
      <c r="E987" s="187">
        <v>0.13679245283018862</v>
      </c>
      <c r="F987">
        <v>37.729999999999997</v>
      </c>
    </row>
    <row r="988" spans="1:6">
      <c r="A988">
        <v>1473</v>
      </c>
      <c r="B988" t="s">
        <v>642</v>
      </c>
      <c r="C988">
        <v>22.3</v>
      </c>
      <c r="D988">
        <f>VLOOKUP(A988,收盤價!A:C,3,0)</f>
        <v>25.35</v>
      </c>
      <c r="E988" s="187">
        <v>0.13677130044843053</v>
      </c>
      <c r="F988">
        <v>37.67</v>
      </c>
    </row>
    <row r="989" spans="1:6">
      <c r="A989">
        <v>6281</v>
      </c>
      <c r="B989" t="s">
        <v>1314</v>
      </c>
      <c r="C989">
        <v>50</v>
      </c>
      <c r="D989">
        <f>VLOOKUP(A989,收盤價!A:C,3,0)</f>
        <v>56.8</v>
      </c>
      <c r="E989" s="187">
        <v>0.13599999999999995</v>
      </c>
      <c r="F989">
        <v>37.6</v>
      </c>
    </row>
    <row r="990" spans="1:6">
      <c r="A990">
        <v>1614</v>
      </c>
      <c r="B990" t="s">
        <v>693</v>
      </c>
      <c r="C990">
        <v>23.2</v>
      </c>
      <c r="D990">
        <f>VLOOKUP(A990,收盤價!A:C,3,0)</f>
        <v>26.35</v>
      </c>
      <c r="E990" s="187">
        <v>0.13577586206896561</v>
      </c>
      <c r="F990">
        <v>37.54</v>
      </c>
    </row>
    <row r="991" spans="1:6">
      <c r="A991">
        <v>5202</v>
      </c>
      <c r="B991" t="s">
        <v>1642</v>
      </c>
      <c r="C991">
        <v>12.55</v>
      </c>
      <c r="D991">
        <f>VLOOKUP(A991,收盤價!A:C,3,0)</f>
        <v>14.25</v>
      </c>
      <c r="E991" s="187">
        <v>0.13545816733067723</v>
      </c>
      <c r="F991">
        <v>37.479999999999997</v>
      </c>
    </row>
    <row r="992" spans="1:6">
      <c r="A992">
        <v>2208</v>
      </c>
      <c r="B992" t="s">
        <v>792</v>
      </c>
      <c r="C992">
        <v>11.45</v>
      </c>
      <c r="D992">
        <f>VLOOKUP(A992,收盤價!A:C,3,0)</f>
        <v>13</v>
      </c>
      <c r="E992" s="187">
        <v>0.13537117903930138</v>
      </c>
      <c r="F992">
        <v>37.409999999999997</v>
      </c>
    </row>
    <row r="993" spans="1:6">
      <c r="A993">
        <v>6504</v>
      </c>
      <c r="B993" t="s">
        <v>1333</v>
      </c>
      <c r="C993">
        <v>167</v>
      </c>
      <c r="D993">
        <f>VLOOKUP(A993,收盤價!A:C,3,0)</f>
        <v>189.5</v>
      </c>
      <c r="E993" s="187">
        <v>0.1347305389221557</v>
      </c>
      <c r="F993">
        <v>37.35</v>
      </c>
    </row>
    <row r="994" spans="1:6">
      <c r="A994">
        <v>1708</v>
      </c>
      <c r="B994" t="s">
        <v>703</v>
      </c>
      <c r="C994">
        <v>30.85</v>
      </c>
      <c r="D994">
        <f>VLOOKUP(A994,收盤價!A:C,3,0)</f>
        <v>35</v>
      </c>
      <c r="E994" s="187">
        <v>0.13452188006482976</v>
      </c>
      <c r="F994">
        <v>37.29</v>
      </c>
    </row>
    <row r="995" spans="1:6">
      <c r="A995">
        <v>8213</v>
      </c>
      <c r="B995" t="s">
        <v>1357</v>
      </c>
      <c r="C995">
        <v>29.85</v>
      </c>
      <c r="D995">
        <f>VLOOKUP(A995,收盤價!A:C,3,0)</f>
        <v>33.85</v>
      </c>
      <c r="E995" s="187">
        <v>0.13400335008375208</v>
      </c>
      <c r="F995">
        <v>37.22</v>
      </c>
    </row>
    <row r="996" spans="1:6">
      <c r="A996">
        <v>8287</v>
      </c>
      <c r="B996" t="s">
        <v>1819</v>
      </c>
      <c r="C996">
        <v>14.65</v>
      </c>
      <c r="D996">
        <f>VLOOKUP(A996,收盤價!A:C,3,0)</f>
        <v>16.600000000000001</v>
      </c>
      <c r="E996" s="187">
        <v>0.13310580204778164</v>
      </c>
      <c r="F996">
        <v>37.159999999999997</v>
      </c>
    </row>
    <row r="997" spans="1:6">
      <c r="A997">
        <v>4995</v>
      </c>
      <c r="B997" t="s">
        <v>1637</v>
      </c>
      <c r="C997">
        <v>34.950000000000003</v>
      </c>
      <c r="D997">
        <f>VLOOKUP(A997,收盤價!A:C,3,0)</f>
        <v>39.6</v>
      </c>
      <c r="E997" s="187">
        <v>0.13304721030042913</v>
      </c>
      <c r="F997">
        <v>37.1</v>
      </c>
    </row>
    <row r="998" spans="1:6">
      <c r="A998">
        <v>1103</v>
      </c>
      <c r="B998" t="s">
        <v>549</v>
      </c>
      <c r="C998">
        <v>8.83</v>
      </c>
      <c r="D998">
        <f>VLOOKUP(A998,收盤價!A:C,3,0)</f>
        <v>10</v>
      </c>
      <c r="E998" s="187">
        <v>0.13250283125707812</v>
      </c>
      <c r="F998">
        <v>37.03</v>
      </c>
    </row>
    <row r="999" spans="1:6">
      <c r="A999">
        <v>8937</v>
      </c>
      <c r="B999" t="s">
        <v>1848</v>
      </c>
      <c r="C999">
        <v>10.95</v>
      </c>
      <c r="D999">
        <f>VLOOKUP(A999,收盤價!A:C,3,0)</f>
        <v>12.4</v>
      </c>
      <c r="E999" s="187">
        <v>0.13242009132420102</v>
      </c>
      <c r="F999">
        <v>36.97</v>
      </c>
    </row>
    <row r="1000" spans="1:6">
      <c r="A1000">
        <v>1513</v>
      </c>
      <c r="B1000" t="s">
        <v>652</v>
      </c>
      <c r="C1000">
        <v>15.5</v>
      </c>
      <c r="D1000">
        <f>VLOOKUP(A1000,收盤價!A:C,3,0)</f>
        <v>17.55</v>
      </c>
      <c r="E1000" s="187">
        <v>0.13225806451612906</v>
      </c>
      <c r="F1000">
        <v>36.909999999999997</v>
      </c>
    </row>
    <row r="1001" spans="1:6">
      <c r="A1001">
        <v>9939</v>
      </c>
      <c r="B1001" t="s">
        <v>1427</v>
      </c>
      <c r="C1001">
        <v>44.25</v>
      </c>
      <c r="D1001">
        <f>VLOOKUP(A1001,收盤價!A:C,3,0)</f>
        <v>50.1</v>
      </c>
      <c r="E1001" s="187">
        <v>0.1322033898305085</v>
      </c>
      <c r="F1001">
        <v>36.85</v>
      </c>
    </row>
    <row r="1002" spans="1:6">
      <c r="A1002">
        <v>2308</v>
      </c>
      <c r="B1002" t="s">
        <v>801</v>
      </c>
      <c r="C1002">
        <v>140</v>
      </c>
      <c r="D1002">
        <f>VLOOKUP(A1002,收盤價!A:C,3,0)</f>
        <v>158.5</v>
      </c>
      <c r="E1002" s="187">
        <v>0.13214285714285715</v>
      </c>
      <c r="F1002">
        <v>36.78</v>
      </c>
    </row>
    <row r="1003" spans="1:6">
      <c r="A1003">
        <v>5340</v>
      </c>
      <c r="B1003" t="s">
        <v>1661</v>
      </c>
      <c r="C1003">
        <v>3.33</v>
      </c>
      <c r="D1003">
        <f>VLOOKUP(A1003,收盤價!A:C,3,0)</f>
        <v>3.77</v>
      </c>
      <c r="E1003" s="187">
        <v>0.13213213213213212</v>
      </c>
      <c r="F1003">
        <v>36.72</v>
      </c>
    </row>
    <row r="1004" spans="1:6">
      <c r="A1004">
        <v>2704</v>
      </c>
      <c r="B1004" t="s">
        <v>990</v>
      </c>
      <c r="C1004">
        <v>24.6</v>
      </c>
      <c r="D1004">
        <f>VLOOKUP(A1004,收盤價!A:C,3,0)</f>
        <v>27.85</v>
      </c>
      <c r="E1004" s="187">
        <v>0.13211382113821138</v>
      </c>
      <c r="F1004">
        <v>36.659999999999997</v>
      </c>
    </row>
    <row r="1005" spans="1:6">
      <c r="A1005">
        <v>1465</v>
      </c>
      <c r="B1005" t="s">
        <v>634</v>
      </c>
      <c r="C1005">
        <v>12.5</v>
      </c>
      <c r="D1005">
        <f>VLOOKUP(A1005,收盤價!A:C,3,0)</f>
        <v>14.15</v>
      </c>
      <c r="E1005" s="187">
        <v>0.13200000000000003</v>
      </c>
      <c r="F1005">
        <v>36.590000000000003</v>
      </c>
    </row>
    <row r="1006" spans="1:6">
      <c r="A1006">
        <v>5324</v>
      </c>
      <c r="B1006" t="s">
        <v>422</v>
      </c>
      <c r="C1006">
        <v>9.5</v>
      </c>
      <c r="D1006">
        <f>VLOOKUP(A1006,收盤價!A:C,3,0)</f>
        <v>10.75</v>
      </c>
      <c r="E1006" s="187">
        <v>0.13157894736842105</v>
      </c>
      <c r="F1006">
        <v>36.53</v>
      </c>
    </row>
    <row r="1007" spans="1:6">
      <c r="A1007">
        <v>6136</v>
      </c>
      <c r="B1007" t="s">
        <v>1270</v>
      </c>
      <c r="C1007">
        <v>21.3</v>
      </c>
      <c r="D1007">
        <f>VLOOKUP(A1007,收盤價!A:C,3,0)</f>
        <v>24.1</v>
      </c>
      <c r="E1007" s="187">
        <v>0.1314553990610329</v>
      </c>
      <c r="F1007">
        <v>36.47</v>
      </c>
    </row>
    <row r="1008" spans="1:6">
      <c r="A1008">
        <v>8040</v>
      </c>
      <c r="B1008" t="s">
        <v>1781</v>
      </c>
      <c r="C1008">
        <v>6.8</v>
      </c>
      <c r="D1008">
        <f>VLOOKUP(A1008,收盤價!A:C,3,0)</f>
        <v>7.69</v>
      </c>
      <c r="E1008" s="187">
        <v>0.13088235294117656</v>
      </c>
      <c r="F1008">
        <v>36.4</v>
      </c>
    </row>
    <row r="1009" spans="1:6">
      <c r="A1009">
        <v>2608</v>
      </c>
      <c r="B1009" t="s">
        <v>974</v>
      </c>
      <c r="C1009">
        <v>34.799999999999997</v>
      </c>
      <c r="D1009">
        <f>VLOOKUP(A1009,收盤價!A:C,3,0)</f>
        <v>39.35</v>
      </c>
      <c r="E1009" s="187">
        <v>0.13074712643678174</v>
      </c>
      <c r="F1009">
        <v>36.340000000000003</v>
      </c>
    </row>
    <row r="1010" spans="1:6">
      <c r="A1010">
        <v>5013</v>
      </c>
      <c r="B1010" t="s">
        <v>1638</v>
      </c>
      <c r="C1010">
        <v>14.15</v>
      </c>
      <c r="D1010">
        <f>VLOOKUP(A1010,收盤價!A:C,3,0)</f>
        <v>16</v>
      </c>
      <c r="E1010" s="187">
        <v>0.13074204946996465</v>
      </c>
      <c r="F1010">
        <v>36.28</v>
      </c>
    </row>
    <row r="1011" spans="1:6">
      <c r="A1011">
        <v>9930</v>
      </c>
      <c r="B1011" t="s">
        <v>1420</v>
      </c>
      <c r="C1011">
        <v>54.4</v>
      </c>
      <c r="D1011">
        <f>VLOOKUP(A1011,收盤價!A:C,3,0)</f>
        <v>61.5</v>
      </c>
      <c r="E1011" s="187">
        <v>0.13051470588235298</v>
      </c>
      <c r="F1011">
        <v>36.21</v>
      </c>
    </row>
    <row r="1012" spans="1:6">
      <c r="A1012">
        <v>1902</v>
      </c>
      <c r="B1012" t="s">
        <v>742</v>
      </c>
      <c r="C1012">
        <v>9.51</v>
      </c>
      <c r="D1012">
        <f>VLOOKUP(A1012,收盤價!A:C,3,0)</f>
        <v>10.75</v>
      </c>
      <c r="E1012" s="187">
        <v>0.13038906414300738</v>
      </c>
      <c r="F1012">
        <v>36.15</v>
      </c>
    </row>
    <row r="1013" spans="1:6">
      <c r="A1013">
        <v>2358</v>
      </c>
      <c r="B1013" t="s">
        <v>834</v>
      </c>
      <c r="C1013">
        <v>7.61</v>
      </c>
      <c r="D1013">
        <f>VLOOKUP(A1013,收盤價!A:C,3,0)</f>
        <v>8.6</v>
      </c>
      <c r="E1013" s="187">
        <v>0.13009198423127455</v>
      </c>
      <c r="F1013">
        <v>36.090000000000003</v>
      </c>
    </row>
    <row r="1014" spans="1:6">
      <c r="A1014">
        <v>2809</v>
      </c>
      <c r="B1014" t="s">
        <v>1000</v>
      </c>
      <c r="C1014">
        <v>20.8</v>
      </c>
      <c r="D1014">
        <f>VLOOKUP(A1014,收盤價!A:C,3,0)</f>
        <v>23.5</v>
      </c>
      <c r="E1014" s="187">
        <v>0.12980769230769226</v>
      </c>
      <c r="F1014">
        <v>36.03</v>
      </c>
    </row>
    <row r="1015" spans="1:6">
      <c r="A1015">
        <v>3176</v>
      </c>
      <c r="B1015" t="s">
        <v>296</v>
      </c>
      <c r="C1015">
        <v>77.900000000000006</v>
      </c>
      <c r="D1015">
        <f>VLOOKUP(A1015,收盤價!A:C,3,0)</f>
        <v>88</v>
      </c>
      <c r="E1015" s="187">
        <v>0.12965340179717577</v>
      </c>
      <c r="F1015">
        <v>35.96</v>
      </c>
    </row>
    <row r="1016" spans="1:6">
      <c r="A1016">
        <v>1590</v>
      </c>
      <c r="B1016" t="s">
        <v>683</v>
      </c>
      <c r="C1016">
        <v>135</v>
      </c>
      <c r="D1016">
        <f>VLOOKUP(A1016,收盤價!A:C,3,0)</f>
        <v>152.5</v>
      </c>
      <c r="E1016" s="187">
        <v>0.12962962962962962</v>
      </c>
      <c r="F1016">
        <v>35.9</v>
      </c>
    </row>
    <row r="1017" spans="1:6">
      <c r="A1017">
        <v>3339</v>
      </c>
      <c r="B1017" t="s">
        <v>1511</v>
      </c>
      <c r="C1017">
        <v>3.55</v>
      </c>
      <c r="D1017">
        <f>VLOOKUP(A1017,收盤價!A:C,3,0)</f>
        <v>4.01</v>
      </c>
      <c r="E1017" s="187">
        <v>0.12957746478873239</v>
      </c>
      <c r="F1017">
        <v>35.840000000000003</v>
      </c>
    </row>
    <row r="1018" spans="1:6">
      <c r="A1018">
        <v>2882</v>
      </c>
      <c r="B1018" t="s">
        <v>1021</v>
      </c>
      <c r="C1018">
        <v>41</v>
      </c>
      <c r="D1018">
        <f>VLOOKUP(A1018,收盤價!A:C,3,0)</f>
        <v>46.3</v>
      </c>
      <c r="E1018" s="187">
        <v>0.12926829268292675</v>
      </c>
      <c r="F1018">
        <v>35.770000000000003</v>
      </c>
    </row>
    <row r="1019" spans="1:6">
      <c r="A1019">
        <v>2012</v>
      </c>
      <c r="B1019" t="s">
        <v>755</v>
      </c>
      <c r="C1019">
        <v>12.4</v>
      </c>
      <c r="D1019">
        <f>VLOOKUP(A1019,收盤價!A:C,3,0)</f>
        <v>14</v>
      </c>
      <c r="E1019" s="187">
        <v>0.1290322580645161</v>
      </c>
      <c r="F1019">
        <v>35.71</v>
      </c>
    </row>
    <row r="1020" spans="1:6">
      <c r="A1020">
        <v>2395</v>
      </c>
      <c r="B1020" t="s">
        <v>861</v>
      </c>
      <c r="C1020">
        <v>198</v>
      </c>
      <c r="D1020">
        <f>VLOOKUP(A1020,收盤價!A:C,3,0)</f>
        <v>223.5</v>
      </c>
      <c r="E1020" s="187">
        <v>0.12878787878787878</v>
      </c>
      <c r="F1020">
        <v>35.65</v>
      </c>
    </row>
    <row r="1021" spans="1:6">
      <c r="A1021">
        <v>1612</v>
      </c>
      <c r="B1021" t="s">
        <v>691</v>
      </c>
      <c r="C1021">
        <v>7.55</v>
      </c>
      <c r="D1021">
        <f>VLOOKUP(A1021,收盤價!A:C,3,0)</f>
        <v>8.52</v>
      </c>
      <c r="E1021" s="187">
        <v>0.12847682119205295</v>
      </c>
      <c r="F1021">
        <v>35.58</v>
      </c>
    </row>
    <row r="1022" spans="1:6">
      <c r="A1022">
        <v>5511</v>
      </c>
      <c r="B1022" t="s">
        <v>1690</v>
      </c>
      <c r="C1022">
        <v>21.9</v>
      </c>
      <c r="D1022">
        <f>VLOOKUP(A1022,收盤價!A:C,3,0)</f>
        <v>24.7</v>
      </c>
      <c r="E1022" s="187">
        <v>0.12785388127853886</v>
      </c>
      <c r="F1022">
        <v>35.520000000000003</v>
      </c>
    </row>
    <row r="1023" spans="1:6">
      <c r="A1023">
        <v>6198</v>
      </c>
      <c r="B1023" t="s">
        <v>1743</v>
      </c>
      <c r="C1023">
        <v>14.1</v>
      </c>
      <c r="D1023">
        <f>VLOOKUP(A1023,收盤價!A:C,3,0)</f>
        <v>15.9</v>
      </c>
      <c r="E1023" s="187">
        <v>0.12765957446808515</v>
      </c>
      <c r="F1023">
        <v>35.46</v>
      </c>
    </row>
    <row r="1024" spans="1:6">
      <c r="A1024">
        <v>1540</v>
      </c>
      <c r="B1024" t="s">
        <v>675</v>
      </c>
      <c r="C1024">
        <v>14.9</v>
      </c>
      <c r="D1024">
        <f>VLOOKUP(A1024,收盤價!A:C,3,0)</f>
        <v>16.8</v>
      </c>
      <c r="E1024" s="187">
        <v>0.12751677852348994</v>
      </c>
      <c r="F1024">
        <v>35.39</v>
      </c>
    </row>
    <row r="1025" spans="1:6">
      <c r="A1025">
        <v>8443</v>
      </c>
      <c r="B1025" t="s">
        <v>1370</v>
      </c>
      <c r="C1025">
        <v>20.8</v>
      </c>
      <c r="D1025">
        <f>VLOOKUP(A1025,收盤價!A:C,3,0)</f>
        <v>23.45</v>
      </c>
      <c r="E1025" s="187">
        <v>0.12740384615384609</v>
      </c>
      <c r="F1025">
        <v>35.33</v>
      </c>
    </row>
    <row r="1026" spans="1:6">
      <c r="A1026">
        <v>2832</v>
      </c>
      <c r="B1026" t="s">
        <v>1005</v>
      </c>
      <c r="C1026">
        <v>19.649999999999999</v>
      </c>
      <c r="D1026">
        <f>VLOOKUP(A1026,收盤價!A:C,3,0)</f>
        <v>22.15</v>
      </c>
      <c r="E1026" s="187">
        <v>0.1272264631043257</v>
      </c>
      <c r="F1026">
        <v>35.270000000000003</v>
      </c>
    </row>
    <row r="1027" spans="1:6">
      <c r="A1027">
        <v>6236</v>
      </c>
      <c r="B1027" t="s">
        <v>480</v>
      </c>
      <c r="C1027">
        <v>29.1</v>
      </c>
      <c r="D1027">
        <f>VLOOKUP(A1027,收盤價!A:C,3,0)</f>
        <v>32.799999999999997</v>
      </c>
      <c r="E1027" s="187">
        <v>0.12714776632302391</v>
      </c>
      <c r="F1027">
        <v>35.21</v>
      </c>
    </row>
    <row r="1028" spans="1:6">
      <c r="A1028">
        <v>2206</v>
      </c>
      <c r="B1028" t="s">
        <v>790</v>
      </c>
      <c r="C1028">
        <v>19.7</v>
      </c>
      <c r="D1028">
        <f>VLOOKUP(A1028,收盤價!A:C,3,0)</f>
        <v>22.2</v>
      </c>
      <c r="E1028" s="187">
        <v>0.12690355329949238</v>
      </c>
      <c r="F1028">
        <v>35.14</v>
      </c>
    </row>
    <row r="1029" spans="1:6">
      <c r="A1029">
        <v>1785</v>
      </c>
      <c r="B1029" t="s">
        <v>1450</v>
      </c>
      <c r="C1029">
        <v>16.95</v>
      </c>
      <c r="D1029">
        <f>VLOOKUP(A1029,收盤價!A:C,3,0)</f>
        <v>19.100000000000001</v>
      </c>
      <c r="E1029" s="187">
        <v>0.12684365781710927</v>
      </c>
      <c r="F1029">
        <v>35.08</v>
      </c>
    </row>
    <row r="1030" spans="1:6">
      <c r="A1030">
        <v>3607</v>
      </c>
      <c r="B1030" t="s">
        <v>1161</v>
      </c>
      <c r="C1030">
        <v>49</v>
      </c>
      <c r="D1030">
        <f>VLOOKUP(A1030,收盤價!A:C,3,0)</f>
        <v>55.2</v>
      </c>
      <c r="E1030" s="187">
        <v>0.12653061224489801</v>
      </c>
      <c r="F1030">
        <v>35.020000000000003</v>
      </c>
    </row>
    <row r="1031" spans="1:6">
      <c r="A1031">
        <v>1717</v>
      </c>
      <c r="B1031" t="s">
        <v>711</v>
      </c>
      <c r="C1031">
        <v>27.8</v>
      </c>
      <c r="D1031">
        <f>VLOOKUP(A1031,收盤價!A:C,3,0)</f>
        <v>31.3</v>
      </c>
      <c r="E1031" s="187">
        <v>0.12589928057553956</v>
      </c>
      <c r="F1031">
        <v>34.950000000000003</v>
      </c>
    </row>
    <row r="1032" spans="1:6">
      <c r="A1032">
        <v>2105</v>
      </c>
      <c r="B1032" t="s">
        <v>781</v>
      </c>
      <c r="C1032">
        <v>50.1</v>
      </c>
      <c r="D1032">
        <f>VLOOKUP(A1032,收盤價!A:C,3,0)</f>
        <v>56.4</v>
      </c>
      <c r="E1032" s="187">
        <v>0.12574850299401191</v>
      </c>
      <c r="F1032">
        <v>34.89</v>
      </c>
    </row>
    <row r="1033" spans="1:6">
      <c r="A1033">
        <v>5392</v>
      </c>
      <c r="B1033" t="s">
        <v>1671</v>
      </c>
      <c r="C1033">
        <v>47.9</v>
      </c>
      <c r="D1033">
        <f>VLOOKUP(A1033,收盤價!A:C,3,0)</f>
        <v>53.9</v>
      </c>
      <c r="E1033" s="187">
        <v>0.12526096033402923</v>
      </c>
      <c r="F1033">
        <v>34.83</v>
      </c>
    </row>
    <row r="1034" spans="1:6">
      <c r="A1034">
        <v>4711</v>
      </c>
      <c r="B1034" t="s">
        <v>1614</v>
      </c>
      <c r="C1034">
        <v>10.8</v>
      </c>
      <c r="D1034">
        <f>VLOOKUP(A1034,收盤價!A:C,3,0)</f>
        <v>12.15</v>
      </c>
      <c r="E1034" s="187">
        <v>0.12499999999999996</v>
      </c>
      <c r="F1034">
        <v>34.76</v>
      </c>
    </row>
    <row r="1035" spans="1:6">
      <c r="A1035">
        <v>1444</v>
      </c>
      <c r="B1035" t="s">
        <v>618</v>
      </c>
      <c r="C1035">
        <v>8.25</v>
      </c>
      <c r="D1035">
        <f>VLOOKUP(A1035,收盤價!A:C,3,0)</f>
        <v>9.2799999999999994</v>
      </c>
      <c r="E1035" s="187">
        <v>0.12484848484848476</v>
      </c>
      <c r="F1035">
        <v>34.700000000000003</v>
      </c>
    </row>
    <row r="1036" spans="1:6">
      <c r="A1036">
        <v>8084</v>
      </c>
      <c r="B1036" t="s">
        <v>1798</v>
      </c>
      <c r="C1036">
        <v>20.45</v>
      </c>
      <c r="D1036">
        <f>VLOOKUP(A1036,收盤價!A:C,3,0)</f>
        <v>23</v>
      </c>
      <c r="E1036" s="187">
        <v>0.12469437652811739</v>
      </c>
      <c r="F1036">
        <v>34.64</v>
      </c>
    </row>
    <row r="1037" spans="1:6">
      <c r="A1037">
        <v>5201</v>
      </c>
      <c r="B1037" t="s">
        <v>1641</v>
      </c>
      <c r="C1037">
        <v>11.7</v>
      </c>
      <c r="D1037">
        <f>VLOOKUP(A1037,收盤價!A:C,3,0)</f>
        <v>13.15</v>
      </c>
      <c r="E1037" s="187">
        <v>0.12393162393162403</v>
      </c>
      <c r="F1037">
        <v>34.57</v>
      </c>
    </row>
    <row r="1038" spans="1:6">
      <c r="A1038">
        <v>1909</v>
      </c>
      <c r="B1038" t="s">
        <v>747</v>
      </c>
      <c r="C1038">
        <v>10.1</v>
      </c>
      <c r="D1038">
        <f>VLOOKUP(A1038,收盤價!A:C,3,0)</f>
        <v>11.35</v>
      </c>
      <c r="E1038" s="187">
        <v>0.12376237623762376</v>
      </c>
      <c r="F1038">
        <v>34.51</v>
      </c>
    </row>
    <row r="1039" spans="1:6">
      <c r="A1039">
        <v>2913</v>
      </c>
      <c r="B1039" t="s">
        <v>1043</v>
      </c>
      <c r="C1039">
        <v>12.2</v>
      </c>
      <c r="D1039">
        <f>VLOOKUP(A1039,收盤價!A:C,3,0)</f>
        <v>13.7</v>
      </c>
      <c r="E1039" s="187">
        <v>0.12295081967213116</v>
      </c>
      <c r="F1039">
        <v>34.450000000000003</v>
      </c>
    </row>
    <row r="1040" spans="1:6">
      <c r="A1040">
        <v>3228</v>
      </c>
      <c r="B1040" t="s">
        <v>303</v>
      </c>
      <c r="C1040">
        <v>19.95</v>
      </c>
      <c r="D1040">
        <f>VLOOKUP(A1040,收盤價!A:C,3,0)</f>
        <v>22.4</v>
      </c>
      <c r="E1040" s="187">
        <v>0.12280701754385961</v>
      </c>
      <c r="F1040">
        <v>34.380000000000003</v>
      </c>
    </row>
    <row r="1041" spans="1:6">
      <c r="A1041">
        <v>2478</v>
      </c>
      <c r="B1041" t="s">
        <v>923</v>
      </c>
      <c r="C1041">
        <v>13.05</v>
      </c>
      <c r="D1041">
        <f>VLOOKUP(A1041,收盤價!A:C,3,0)</f>
        <v>14.65</v>
      </c>
      <c r="E1041" s="187">
        <v>0.1226053639846743</v>
      </c>
      <c r="F1041">
        <v>34.32</v>
      </c>
    </row>
    <row r="1042" spans="1:6">
      <c r="A1042">
        <v>2101</v>
      </c>
      <c r="B1042" t="s">
        <v>777</v>
      </c>
      <c r="C1042">
        <v>25.3</v>
      </c>
      <c r="D1042">
        <f>VLOOKUP(A1042,收盤價!A:C,3,0)</f>
        <v>28.4</v>
      </c>
      <c r="E1042" s="187">
        <v>0.12252964426877462</v>
      </c>
      <c r="F1042">
        <v>34.26</v>
      </c>
    </row>
    <row r="1043" spans="1:6">
      <c r="A1043">
        <v>9938</v>
      </c>
      <c r="B1043" t="s">
        <v>1426</v>
      </c>
      <c r="C1043">
        <v>67</v>
      </c>
      <c r="D1043">
        <f>VLOOKUP(A1043,收盤價!A:C,3,0)</f>
        <v>75.2</v>
      </c>
      <c r="E1043" s="187">
        <v>0.12238805970149258</v>
      </c>
      <c r="F1043">
        <v>34.200000000000003</v>
      </c>
    </row>
    <row r="1044" spans="1:6">
      <c r="A1044">
        <v>2064</v>
      </c>
      <c r="B1044" t="s">
        <v>276</v>
      </c>
      <c r="C1044">
        <v>15.15</v>
      </c>
      <c r="D1044">
        <f>VLOOKUP(A1044,收盤價!A:C,3,0)</f>
        <v>17</v>
      </c>
      <c r="E1044" s="187">
        <v>0.12211221122112209</v>
      </c>
      <c r="F1044">
        <v>34.130000000000003</v>
      </c>
    </row>
    <row r="1045" spans="1:6">
      <c r="A1045">
        <v>1616</v>
      </c>
      <c r="B1045" t="s">
        <v>695</v>
      </c>
      <c r="C1045">
        <v>4.0999999999999996</v>
      </c>
      <c r="D1045">
        <f>VLOOKUP(A1045,收盤價!A:C,3,0)</f>
        <v>4.5999999999999996</v>
      </c>
      <c r="E1045" s="187">
        <v>0.12195121951219513</v>
      </c>
      <c r="F1045">
        <v>34.07</v>
      </c>
    </row>
    <row r="1046" spans="1:6">
      <c r="A1046">
        <v>1589</v>
      </c>
      <c r="B1046" t="s">
        <v>682</v>
      </c>
      <c r="C1046">
        <v>168.5</v>
      </c>
      <c r="D1046">
        <f>VLOOKUP(A1046,收盤價!A:C,3,0)</f>
        <v>189</v>
      </c>
      <c r="E1046" s="187">
        <v>0.12166172106824925</v>
      </c>
      <c r="F1046">
        <v>34.01</v>
      </c>
    </row>
    <row r="1047" spans="1:6">
      <c r="A1047">
        <v>2701</v>
      </c>
      <c r="B1047" t="s">
        <v>988</v>
      </c>
      <c r="C1047">
        <v>12.75</v>
      </c>
      <c r="D1047">
        <f>VLOOKUP(A1047,收盤價!A:C,3,0)</f>
        <v>14.3</v>
      </c>
      <c r="E1047" s="187">
        <v>0.12156862745098045</v>
      </c>
      <c r="F1047">
        <v>33.94</v>
      </c>
    </row>
    <row r="1048" spans="1:6">
      <c r="A1048">
        <v>3584</v>
      </c>
      <c r="B1048" t="s">
        <v>1154</v>
      </c>
      <c r="C1048">
        <v>5.35</v>
      </c>
      <c r="D1048">
        <f>VLOOKUP(A1048,收盤價!A:C,3,0)</f>
        <v>6</v>
      </c>
      <c r="E1048" s="187">
        <v>0.12149532710280381</v>
      </c>
      <c r="F1048">
        <v>33.880000000000003</v>
      </c>
    </row>
    <row r="1049" spans="1:6">
      <c r="A1049">
        <v>2613</v>
      </c>
      <c r="B1049" t="s">
        <v>979</v>
      </c>
      <c r="C1049">
        <v>12.35</v>
      </c>
      <c r="D1049">
        <f>VLOOKUP(A1049,收盤價!A:C,3,0)</f>
        <v>13.85</v>
      </c>
      <c r="E1049" s="187">
        <v>0.12145748987854252</v>
      </c>
      <c r="F1049">
        <v>33.82</v>
      </c>
    </row>
    <row r="1050" spans="1:6">
      <c r="A1050">
        <v>2015</v>
      </c>
      <c r="B1050" t="s">
        <v>758</v>
      </c>
      <c r="C1050">
        <v>33.799999999999997</v>
      </c>
      <c r="D1050">
        <f>VLOOKUP(A1050,收盤價!A:C,3,0)</f>
        <v>37.9</v>
      </c>
      <c r="E1050" s="187">
        <v>0.12130177514792904</v>
      </c>
      <c r="F1050">
        <v>33.75</v>
      </c>
    </row>
    <row r="1051" spans="1:6">
      <c r="A1051">
        <v>2017</v>
      </c>
      <c r="B1051" t="s">
        <v>759</v>
      </c>
      <c r="C1051">
        <v>4.88</v>
      </c>
      <c r="D1051">
        <f>VLOOKUP(A1051,收盤價!A:C,3,0)</f>
        <v>5.47</v>
      </c>
      <c r="E1051" s="187">
        <v>0.12090163934426226</v>
      </c>
      <c r="F1051">
        <v>33.69</v>
      </c>
    </row>
    <row r="1052" spans="1:6">
      <c r="A1052">
        <v>1437</v>
      </c>
      <c r="B1052" t="s">
        <v>611</v>
      </c>
      <c r="C1052">
        <v>10.8</v>
      </c>
      <c r="D1052">
        <f>VLOOKUP(A1052,收盤價!A:C,3,0)</f>
        <v>12.1</v>
      </c>
      <c r="E1052" s="187">
        <v>0.12037037037037027</v>
      </c>
      <c r="F1052">
        <v>33.630000000000003</v>
      </c>
    </row>
    <row r="1053" spans="1:6">
      <c r="A1053">
        <v>3010</v>
      </c>
      <c r="B1053" t="s">
        <v>1053</v>
      </c>
      <c r="C1053">
        <v>40.25</v>
      </c>
      <c r="D1053">
        <f>VLOOKUP(A1053,收盤價!A:C,3,0)</f>
        <v>45.05</v>
      </c>
      <c r="E1053" s="187">
        <v>0.1192546583850931</v>
      </c>
      <c r="F1053">
        <v>33.56</v>
      </c>
    </row>
    <row r="1054" spans="1:6">
      <c r="A1054">
        <v>5489</v>
      </c>
      <c r="B1054" t="s">
        <v>1685</v>
      </c>
      <c r="C1054">
        <v>45.85</v>
      </c>
      <c r="D1054">
        <f>VLOOKUP(A1054,收盤價!A:C,3,0)</f>
        <v>51.3</v>
      </c>
      <c r="E1054" s="187">
        <v>0.11886586695746991</v>
      </c>
      <c r="F1054">
        <v>33.5</v>
      </c>
    </row>
    <row r="1055" spans="1:6">
      <c r="A1055">
        <v>6183</v>
      </c>
      <c r="B1055" t="s">
        <v>1285</v>
      </c>
      <c r="C1055">
        <v>23.3</v>
      </c>
      <c r="D1055">
        <f>VLOOKUP(A1055,收盤價!A:C,3,0)</f>
        <v>26.05</v>
      </c>
      <c r="E1055" s="187">
        <v>0.11802575107296137</v>
      </c>
      <c r="F1055">
        <v>33.44</v>
      </c>
    </row>
    <row r="1056" spans="1:6">
      <c r="A1056">
        <v>6112</v>
      </c>
      <c r="B1056" t="s">
        <v>1262</v>
      </c>
      <c r="C1056">
        <v>25</v>
      </c>
      <c r="D1056">
        <f>VLOOKUP(A1056,收盤價!A:C,3,0)</f>
        <v>27.95</v>
      </c>
      <c r="E1056" s="187">
        <v>0.11799999999999997</v>
      </c>
      <c r="F1056">
        <v>33.380000000000003</v>
      </c>
    </row>
    <row r="1057" spans="1:6">
      <c r="A1057">
        <v>3680</v>
      </c>
      <c r="B1057" t="s">
        <v>1557</v>
      </c>
      <c r="C1057">
        <v>26.75</v>
      </c>
      <c r="D1057">
        <f>VLOOKUP(A1057,收盤價!A:C,3,0)</f>
        <v>29.9</v>
      </c>
      <c r="E1057" s="187">
        <v>0.11775700934579433</v>
      </c>
      <c r="F1057">
        <v>33.31</v>
      </c>
    </row>
    <row r="1058" spans="1:6">
      <c r="A1058">
        <v>2841</v>
      </c>
      <c r="B1058" t="s">
        <v>1009</v>
      </c>
      <c r="C1058">
        <v>9.35</v>
      </c>
      <c r="D1058">
        <f>VLOOKUP(A1058,收盤價!A:C,3,0)</f>
        <v>10.45</v>
      </c>
      <c r="E1058" s="187">
        <v>0.11764705882352938</v>
      </c>
      <c r="F1058">
        <v>33.25</v>
      </c>
    </row>
    <row r="1059" spans="1:6">
      <c r="A1059">
        <v>9907</v>
      </c>
      <c r="B1059" t="s">
        <v>1404</v>
      </c>
      <c r="C1059">
        <v>13.6</v>
      </c>
      <c r="D1059">
        <f>VLOOKUP(A1059,收盤價!A:C,3,0)</f>
        <v>15.2</v>
      </c>
      <c r="E1059" s="187">
        <v>0.11764705882352938</v>
      </c>
      <c r="F1059">
        <v>33.19</v>
      </c>
    </row>
    <row r="1060" spans="1:6">
      <c r="A1060">
        <v>2702</v>
      </c>
      <c r="B1060" t="s">
        <v>989</v>
      </c>
      <c r="C1060">
        <v>13.6</v>
      </c>
      <c r="D1060">
        <f>VLOOKUP(A1060,收盤價!A:C,3,0)</f>
        <v>15.2</v>
      </c>
      <c r="E1060" s="187">
        <v>0.11764705882352938</v>
      </c>
      <c r="F1060">
        <v>33.119999999999997</v>
      </c>
    </row>
    <row r="1061" spans="1:6">
      <c r="A1061">
        <v>1423</v>
      </c>
      <c r="B1061" t="s">
        <v>606</v>
      </c>
      <c r="C1061">
        <v>6.4</v>
      </c>
      <c r="D1061">
        <f>VLOOKUP(A1061,收盤價!A:C,3,0)</f>
        <v>7.15</v>
      </c>
      <c r="E1061" s="187">
        <v>0.1171875</v>
      </c>
      <c r="F1061">
        <v>33.06</v>
      </c>
    </row>
    <row r="1062" spans="1:6">
      <c r="A1062">
        <v>8454</v>
      </c>
      <c r="B1062" t="s">
        <v>1371</v>
      </c>
      <c r="C1062">
        <v>197.5</v>
      </c>
      <c r="D1062">
        <f>VLOOKUP(A1062,收盤價!A:C,3,0)</f>
        <v>220.5</v>
      </c>
      <c r="E1062" s="187">
        <v>0.11645569620253164</v>
      </c>
      <c r="F1062">
        <v>33</v>
      </c>
    </row>
    <row r="1063" spans="1:6">
      <c r="A1063">
        <v>1410</v>
      </c>
      <c r="B1063" t="s">
        <v>599</v>
      </c>
      <c r="C1063">
        <v>21.05</v>
      </c>
      <c r="D1063">
        <f>VLOOKUP(A1063,收盤價!A:C,3,0)</f>
        <v>23.5</v>
      </c>
      <c r="E1063" s="187">
        <v>0.11638954869358666</v>
      </c>
      <c r="F1063">
        <v>32.93</v>
      </c>
    </row>
    <row r="1064" spans="1:6">
      <c r="A1064">
        <v>5287</v>
      </c>
      <c r="B1064" t="s">
        <v>415</v>
      </c>
      <c r="C1064">
        <v>258</v>
      </c>
      <c r="D1064">
        <f>VLOOKUP(A1064,收盤價!A:C,3,0)</f>
        <v>288</v>
      </c>
      <c r="E1064" s="187">
        <v>0.11627906976744186</v>
      </c>
      <c r="F1064">
        <v>32.869999999999997</v>
      </c>
    </row>
    <row r="1065" spans="1:6">
      <c r="A1065">
        <v>6127</v>
      </c>
      <c r="B1065" t="s">
        <v>1722</v>
      </c>
      <c r="C1065">
        <v>8.6999999999999993</v>
      </c>
      <c r="D1065">
        <f>VLOOKUP(A1065,收盤價!A:C,3,0)</f>
        <v>9.7100000000000009</v>
      </c>
      <c r="E1065" s="187">
        <v>0.11609195402298869</v>
      </c>
      <c r="F1065">
        <v>32.81</v>
      </c>
    </row>
    <row r="1066" spans="1:6">
      <c r="A1066">
        <v>6190</v>
      </c>
      <c r="B1066" t="s">
        <v>468</v>
      </c>
      <c r="C1066">
        <v>5.26</v>
      </c>
      <c r="D1066">
        <f>VLOOKUP(A1066,收盤價!A:C,3,0)</f>
        <v>5.87</v>
      </c>
      <c r="E1066" s="187">
        <v>0.11596958174904949</v>
      </c>
      <c r="F1066">
        <v>32.74</v>
      </c>
    </row>
    <row r="1067" spans="1:6">
      <c r="A1067">
        <v>5520</v>
      </c>
      <c r="B1067" t="s">
        <v>1693</v>
      </c>
      <c r="C1067">
        <v>24.2</v>
      </c>
      <c r="D1067">
        <f>VLOOKUP(A1067,收盤價!A:C,3,0)</f>
        <v>27</v>
      </c>
      <c r="E1067" s="187">
        <v>0.11570247933884301</v>
      </c>
      <c r="F1067">
        <v>32.68</v>
      </c>
    </row>
    <row r="1068" spans="1:6">
      <c r="A1068">
        <v>5345</v>
      </c>
      <c r="B1068" t="s">
        <v>423</v>
      </c>
      <c r="C1068">
        <v>9.01</v>
      </c>
      <c r="D1068">
        <f>VLOOKUP(A1068,收盤價!A:C,3,0)</f>
        <v>10.050000000000001</v>
      </c>
      <c r="E1068" s="187">
        <v>0.11542730299667048</v>
      </c>
      <c r="F1068">
        <v>32.619999999999997</v>
      </c>
    </row>
    <row r="1069" spans="1:6">
      <c r="A1069">
        <v>2013</v>
      </c>
      <c r="B1069" t="s">
        <v>756</v>
      </c>
      <c r="C1069">
        <v>16.899999999999999</v>
      </c>
      <c r="D1069">
        <f>VLOOKUP(A1069,收盤價!A:C,3,0)</f>
        <v>18.850000000000001</v>
      </c>
      <c r="E1069" s="187">
        <v>0.11538461538461556</v>
      </c>
      <c r="F1069">
        <v>32.56</v>
      </c>
    </row>
    <row r="1070" spans="1:6">
      <c r="A1070">
        <v>2467</v>
      </c>
      <c r="B1070" t="s">
        <v>916</v>
      </c>
      <c r="C1070">
        <v>11.3</v>
      </c>
      <c r="D1070">
        <f>VLOOKUP(A1070,收盤價!A:C,3,0)</f>
        <v>12.6</v>
      </c>
      <c r="E1070" s="187">
        <v>0.11504424778761052</v>
      </c>
      <c r="F1070">
        <v>32.49</v>
      </c>
    </row>
    <row r="1071" spans="1:6">
      <c r="A1071">
        <v>1442</v>
      </c>
      <c r="B1071" t="s">
        <v>616</v>
      </c>
      <c r="C1071">
        <v>16.100000000000001</v>
      </c>
      <c r="D1071">
        <f>VLOOKUP(A1071,收盤價!A:C,3,0)</f>
        <v>17.95</v>
      </c>
      <c r="E1071" s="187">
        <v>0.1149068322981365</v>
      </c>
      <c r="F1071">
        <v>32.43</v>
      </c>
    </row>
    <row r="1072" spans="1:6">
      <c r="A1072">
        <v>5266</v>
      </c>
      <c r="B1072" t="s">
        <v>1649</v>
      </c>
      <c r="C1072">
        <v>55.8</v>
      </c>
      <c r="D1072">
        <f>VLOOKUP(A1072,收盤價!A:C,3,0)</f>
        <v>62.2</v>
      </c>
      <c r="E1072" s="187">
        <v>0.11469534050179223</v>
      </c>
      <c r="F1072">
        <v>32.369999999999997</v>
      </c>
    </row>
    <row r="1073" spans="1:6">
      <c r="A1073">
        <v>3360</v>
      </c>
      <c r="B1073" t="s">
        <v>321</v>
      </c>
      <c r="C1073">
        <v>10.9</v>
      </c>
      <c r="D1073">
        <f>VLOOKUP(A1073,收盤價!A:C,3,0)</f>
        <v>12.15</v>
      </c>
      <c r="E1073" s="187">
        <v>0.1146788990825688</v>
      </c>
      <c r="F1073">
        <v>32.299999999999997</v>
      </c>
    </row>
    <row r="1074" spans="1:6">
      <c r="A1074">
        <v>6201</v>
      </c>
      <c r="B1074" t="s">
        <v>1292</v>
      </c>
      <c r="C1074">
        <v>22.7</v>
      </c>
      <c r="D1074">
        <f>VLOOKUP(A1074,收盤價!A:C,3,0)</f>
        <v>25.3</v>
      </c>
      <c r="E1074" s="187">
        <v>0.11453744493392078</v>
      </c>
      <c r="F1074">
        <v>32.24</v>
      </c>
    </row>
    <row r="1075" spans="1:6">
      <c r="A1075">
        <v>4429</v>
      </c>
      <c r="B1075" t="s">
        <v>380</v>
      </c>
      <c r="C1075">
        <v>21</v>
      </c>
      <c r="D1075">
        <f>VLOOKUP(A1075,收盤價!A:C,3,0)</f>
        <v>23.4</v>
      </c>
      <c r="E1075" s="187">
        <v>0.11428571428571421</v>
      </c>
      <c r="F1075">
        <v>32.18</v>
      </c>
    </row>
    <row r="1076" spans="1:6">
      <c r="A1076">
        <v>1535</v>
      </c>
      <c r="B1076" t="s">
        <v>670</v>
      </c>
      <c r="C1076">
        <v>53.4</v>
      </c>
      <c r="D1076">
        <f>VLOOKUP(A1076,收盤價!A:C,3,0)</f>
        <v>59.5</v>
      </c>
      <c r="E1076" s="187">
        <v>0.11423220973782774</v>
      </c>
      <c r="F1076">
        <v>32.11</v>
      </c>
    </row>
    <row r="1077" spans="1:6">
      <c r="A1077">
        <v>5609</v>
      </c>
      <c r="B1077" t="s">
        <v>447</v>
      </c>
      <c r="C1077">
        <v>15.8</v>
      </c>
      <c r="D1077">
        <f>VLOOKUP(A1077,收盤價!A:C,3,0)</f>
        <v>17.600000000000001</v>
      </c>
      <c r="E1077" s="187">
        <v>0.11392405063291143</v>
      </c>
      <c r="F1077">
        <v>32.049999999999997</v>
      </c>
    </row>
    <row r="1078" spans="1:6">
      <c r="A1078">
        <v>4207</v>
      </c>
      <c r="B1078" t="s">
        <v>1587</v>
      </c>
      <c r="C1078">
        <v>8.94</v>
      </c>
      <c r="D1078">
        <f>VLOOKUP(A1078,收盤價!A:C,3,0)</f>
        <v>9.9499999999999993</v>
      </c>
      <c r="E1078" s="187">
        <v>0.11297539149888142</v>
      </c>
      <c r="F1078">
        <v>31.99</v>
      </c>
    </row>
    <row r="1079" spans="1:6">
      <c r="A1079">
        <v>1722</v>
      </c>
      <c r="B1079" t="s">
        <v>715</v>
      </c>
      <c r="C1079">
        <v>37.299999999999997</v>
      </c>
      <c r="D1079">
        <f>VLOOKUP(A1079,收盤價!A:C,3,0)</f>
        <v>41.5</v>
      </c>
      <c r="E1079" s="187">
        <v>0.11260053619302958</v>
      </c>
      <c r="F1079">
        <v>31.92</v>
      </c>
    </row>
    <row r="1080" spans="1:6">
      <c r="A1080">
        <v>2327</v>
      </c>
      <c r="B1080" t="s">
        <v>812</v>
      </c>
      <c r="C1080">
        <v>46.3</v>
      </c>
      <c r="D1080">
        <f>VLOOKUP(A1080,收盤價!A:C,3,0)</f>
        <v>51.5</v>
      </c>
      <c r="E1080" s="187">
        <v>0.11231101511879056</v>
      </c>
      <c r="F1080">
        <v>31.86</v>
      </c>
    </row>
    <row r="1081" spans="1:6">
      <c r="A1081">
        <v>1110</v>
      </c>
      <c r="B1081" t="s">
        <v>552</v>
      </c>
      <c r="C1081">
        <v>13.4</v>
      </c>
      <c r="D1081">
        <f>VLOOKUP(A1081,收盤價!A:C,3,0)</f>
        <v>14.9</v>
      </c>
      <c r="E1081" s="187">
        <v>0.11194029850746269</v>
      </c>
      <c r="F1081">
        <v>31.8</v>
      </c>
    </row>
    <row r="1082" spans="1:6">
      <c r="A1082">
        <v>6023</v>
      </c>
      <c r="B1082" t="s">
        <v>1707</v>
      </c>
      <c r="C1082">
        <v>32.299999999999997</v>
      </c>
      <c r="D1082">
        <f>VLOOKUP(A1082,收盤價!A:C,3,0)</f>
        <v>35.9</v>
      </c>
      <c r="E1082" s="187">
        <v>0.11145510835913318</v>
      </c>
      <c r="F1082">
        <v>31.74</v>
      </c>
    </row>
    <row r="1083" spans="1:6">
      <c r="A1083">
        <v>2424</v>
      </c>
      <c r="B1083" t="s">
        <v>880</v>
      </c>
      <c r="C1083">
        <v>27.9</v>
      </c>
      <c r="D1083">
        <f>VLOOKUP(A1083,收盤價!A:C,3,0)</f>
        <v>31</v>
      </c>
      <c r="E1083" s="187">
        <v>0.11111111111111117</v>
      </c>
      <c r="F1083">
        <v>31.67</v>
      </c>
    </row>
    <row r="1084" spans="1:6">
      <c r="A1084">
        <v>6164</v>
      </c>
      <c r="B1084" t="s">
        <v>1278</v>
      </c>
      <c r="C1084">
        <v>9.23</v>
      </c>
      <c r="D1084">
        <f>VLOOKUP(A1084,收盤價!A:C,3,0)</f>
        <v>10.25</v>
      </c>
      <c r="E1084" s="187">
        <v>0.11050920910075834</v>
      </c>
      <c r="F1084">
        <v>31.61</v>
      </c>
    </row>
    <row r="1085" spans="1:6">
      <c r="A1085">
        <v>4739</v>
      </c>
      <c r="B1085" t="s">
        <v>1618</v>
      </c>
      <c r="C1085">
        <v>34.950000000000003</v>
      </c>
      <c r="D1085">
        <f>VLOOKUP(A1085,收盤價!A:C,3,0)</f>
        <v>38.799999999999997</v>
      </c>
      <c r="E1085" s="187">
        <v>0.11015736766809711</v>
      </c>
      <c r="F1085">
        <v>31.55</v>
      </c>
    </row>
    <row r="1086" spans="1:6">
      <c r="A1086">
        <v>1443</v>
      </c>
      <c r="B1086" t="s">
        <v>617</v>
      </c>
      <c r="C1086">
        <v>4.28</v>
      </c>
      <c r="D1086">
        <f>VLOOKUP(A1086,收盤價!A:C,3,0)</f>
        <v>4.75</v>
      </c>
      <c r="E1086" s="187">
        <v>0.10981308411214946</v>
      </c>
      <c r="F1086">
        <v>31.48</v>
      </c>
    </row>
    <row r="1087" spans="1:6">
      <c r="A1087">
        <v>4956</v>
      </c>
      <c r="B1087" t="s">
        <v>1219</v>
      </c>
      <c r="C1087">
        <v>10.5</v>
      </c>
      <c r="D1087">
        <f>VLOOKUP(A1087,收盤價!A:C,3,0)</f>
        <v>11.65</v>
      </c>
      <c r="E1087" s="187">
        <v>0.10952380952380955</v>
      </c>
      <c r="F1087">
        <v>31.42</v>
      </c>
    </row>
    <row r="1088" spans="1:6">
      <c r="A1088">
        <v>2616</v>
      </c>
      <c r="B1088" t="s">
        <v>982</v>
      </c>
      <c r="C1088">
        <v>20.65</v>
      </c>
      <c r="D1088">
        <f>VLOOKUP(A1088,收盤價!A:C,3,0)</f>
        <v>22.9</v>
      </c>
      <c r="E1088" s="187">
        <v>0.10895883777239711</v>
      </c>
      <c r="F1088">
        <v>31.36</v>
      </c>
    </row>
    <row r="1089" spans="1:6">
      <c r="A1089">
        <v>2359</v>
      </c>
      <c r="B1089" t="s">
        <v>835</v>
      </c>
      <c r="C1089">
        <v>13.45</v>
      </c>
      <c r="D1089">
        <f>VLOOKUP(A1089,收盤價!A:C,3,0)</f>
        <v>14.9</v>
      </c>
      <c r="E1089" s="187">
        <v>0.10780669144981421</v>
      </c>
      <c r="F1089">
        <v>31.29</v>
      </c>
    </row>
    <row r="1090" spans="1:6">
      <c r="A1090">
        <v>2535</v>
      </c>
      <c r="B1090" t="s">
        <v>956</v>
      </c>
      <c r="C1090">
        <v>13</v>
      </c>
      <c r="D1090">
        <f>VLOOKUP(A1090,收盤價!A:C,3,0)</f>
        <v>14.4</v>
      </c>
      <c r="E1090" s="187">
        <v>0.10769230769230773</v>
      </c>
      <c r="F1090">
        <v>31.23</v>
      </c>
    </row>
    <row r="1091" spans="1:6">
      <c r="A1091">
        <v>1608</v>
      </c>
      <c r="B1091" t="s">
        <v>688</v>
      </c>
      <c r="C1091">
        <v>6.14</v>
      </c>
      <c r="D1091">
        <f>VLOOKUP(A1091,收盤價!A:C,3,0)</f>
        <v>6.8</v>
      </c>
      <c r="E1091" s="187">
        <v>0.10749185667752446</v>
      </c>
      <c r="F1091">
        <v>31.17</v>
      </c>
    </row>
    <row r="1092" spans="1:6">
      <c r="A1092">
        <v>1232</v>
      </c>
      <c r="B1092" t="s">
        <v>567</v>
      </c>
      <c r="C1092">
        <v>67.5</v>
      </c>
      <c r="D1092">
        <f>VLOOKUP(A1092,收盤價!A:C,3,0)</f>
        <v>74.7</v>
      </c>
      <c r="E1092" s="187">
        <v>0.10666666666666672</v>
      </c>
      <c r="F1092">
        <v>31.1</v>
      </c>
    </row>
    <row r="1093" spans="1:6">
      <c r="A1093">
        <v>6222</v>
      </c>
      <c r="B1093" t="s">
        <v>1752</v>
      </c>
      <c r="C1093">
        <v>6.78</v>
      </c>
      <c r="D1093">
        <f>VLOOKUP(A1093,收盤價!A:C,3,0)</f>
        <v>7.5</v>
      </c>
      <c r="E1093" s="187">
        <v>0.10619469026548668</v>
      </c>
      <c r="F1093">
        <v>31.04</v>
      </c>
    </row>
    <row r="1094" spans="1:6">
      <c r="A1094">
        <v>8932</v>
      </c>
      <c r="B1094" t="s">
        <v>1844</v>
      </c>
      <c r="C1094">
        <v>8.5</v>
      </c>
      <c r="D1094">
        <f>VLOOKUP(A1094,收盤價!A:C,3,0)</f>
        <v>9.4</v>
      </c>
      <c r="E1094" s="187">
        <v>0.10588235294117651</v>
      </c>
      <c r="F1094">
        <v>30.98</v>
      </c>
    </row>
    <row r="1095" spans="1:6">
      <c r="A1095">
        <v>2547</v>
      </c>
      <c r="B1095" t="s">
        <v>966</v>
      </c>
      <c r="C1095">
        <v>10.4</v>
      </c>
      <c r="D1095">
        <f>VLOOKUP(A1095,收盤價!A:C,3,0)</f>
        <v>11.5</v>
      </c>
      <c r="E1095" s="187">
        <v>0.10576923076923073</v>
      </c>
      <c r="F1095">
        <v>30.91</v>
      </c>
    </row>
    <row r="1096" spans="1:6">
      <c r="A1096">
        <v>1773</v>
      </c>
      <c r="B1096" t="s">
        <v>731</v>
      </c>
      <c r="C1096">
        <v>37.35</v>
      </c>
      <c r="D1096">
        <f>VLOOKUP(A1096,收盤價!A:C,3,0)</f>
        <v>41.3</v>
      </c>
      <c r="E1096" s="187">
        <v>0.10575635876840685</v>
      </c>
      <c r="F1096">
        <v>30.85</v>
      </c>
    </row>
    <row r="1097" spans="1:6">
      <c r="A1097">
        <v>2455</v>
      </c>
      <c r="B1097" t="s">
        <v>905</v>
      </c>
      <c r="C1097">
        <v>34.15</v>
      </c>
      <c r="D1097">
        <f>VLOOKUP(A1097,收盤價!A:C,3,0)</f>
        <v>37.75</v>
      </c>
      <c r="E1097" s="187">
        <v>0.10541727672035144</v>
      </c>
      <c r="F1097">
        <v>30.79</v>
      </c>
    </row>
    <row r="1098" spans="1:6">
      <c r="A1098">
        <v>1315</v>
      </c>
      <c r="B1098" t="s">
        <v>585</v>
      </c>
      <c r="C1098">
        <v>21.4</v>
      </c>
      <c r="D1098">
        <f>VLOOKUP(A1098,收盤價!A:C,3,0)</f>
        <v>23.65</v>
      </c>
      <c r="E1098" s="187">
        <v>0.10514018691588786</v>
      </c>
      <c r="F1098">
        <v>30.73</v>
      </c>
    </row>
    <row r="1099" spans="1:6">
      <c r="A1099">
        <v>8085</v>
      </c>
      <c r="B1099" t="s">
        <v>509</v>
      </c>
      <c r="C1099">
        <v>3.83</v>
      </c>
      <c r="D1099">
        <f>VLOOKUP(A1099,收盤價!A:C,3,0)</f>
        <v>4.2300000000000004</v>
      </c>
      <c r="E1099" s="187">
        <v>0.10443864229765022</v>
      </c>
      <c r="F1099">
        <v>30.66</v>
      </c>
    </row>
    <row r="1100" spans="1:6">
      <c r="A1100">
        <v>2607</v>
      </c>
      <c r="B1100" t="s">
        <v>973</v>
      </c>
      <c r="C1100">
        <v>12</v>
      </c>
      <c r="D1100">
        <f>VLOOKUP(A1100,收盤價!A:C,3,0)</f>
        <v>13.25</v>
      </c>
      <c r="E1100" s="187">
        <v>0.10416666666666667</v>
      </c>
      <c r="F1100">
        <v>30.6</v>
      </c>
    </row>
    <row r="1101" spans="1:6">
      <c r="A1101">
        <v>1593</v>
      </c>
      <c r="B1101" t="s">
        <v>267</v>
      </c>
      <c r="C1101">
        <v>37</v>
      </c>
      <c r="D1101">
        <f>VLOOKUP(A1101,收盤價!A:C,3,0)</f>
        <v>40.85</v>
      </c>
      <c r="E1101" s="187">
        <v>0.10405405405405409</v>
      </c>
      <c r="F1101">
        <v>30.54</v>
      </c>
    </row>
    <row r="1102" spans="1:6">
      <c r="A1102">
        <v>1264</v>
      </c>
      <c r="B1102" t="s">
        <v>262</v>
      </c>
      <c r="C1102">
        <v>173</v>
      </c>
      <c r="D1102">
        <f>VLOOKUP(A1102,收盤價!A:C,3,0)</f>
        <v>191</v>
      </c>
      <c r="E1102" s="187">
        <v>0.10404624277456648</v>
      </c>
      <c r="F1102">
        <v>30.47</v>
      </c>
    </row>
    <row r="1103" spans="1:6">
      <c r="A1103">
        <v>2539</v>
      </c>
      <c r="B1103" t="s">
        <v>960</v>
      </c>
      <c r="C1103">
        <v>21.25</v>
      </c>
      <c r="D1103">
        <f>VLOOKUP(A1103,收盤價!A:C,3,0)</f>
        <v>23.45</v>
      </c>
      <c r="E1103" s="187">
        <v>0.10352941176470584</v>
      </c>
      <c r="F1103">
        <v>30.41</v>
      </c>
    </row>
    <row r="1104" spans="1:6">
      <c r="A1104">
        <v>5538</v>
      </c>
      <c r="B1104" t="s">
        <v>1252</v>
      </c>
      <c r="C1104">
        <v>24.2</v>
      </c>
      <c r="D1104">
        <f>VLOOKUP(A1104,收盤價!A:C,3,0)</f>
        <v>26.7</v>
      </c>
      <c r="E1104" s="187">
        <v>0.10330578512396695</v>
      </c>
      <c r="F1104">
        <v>30.35</v>
      </c>
    </row>
    <row r="1105" spans="1:6">
      <c r="A1105">
        <v>5464</v>
      </c>
      <c r="B1105" t="s">
        <v>1678</v>
      </c>
      <c r="C1105">
        <v>15.6</v>
      </c>
      <c r="D1105">
        <f>VLOOKUP(A1105,收盤價!A:C,3,0)</f>
        <v>17.2</v>
      </c>
      <c r="E1105" s="187">
        <v>0.10256410256410255</v>
      </c>
      <c r="F1105">
        <v>30.28</v>
      </c>
    </row>
    <row r="1106" spans="1:6">
      <c r="A1106">
        <v>4175</v>
      </c>
      <c r="B1106" t="s">
        <v>375</v>
      </c>
      <c r="C1106">
        <v>72.2</v>
      </c>
      <c r="D1106">
        <f>VLOOKUP(A1106,收盤價!A:C,3,0)</f>
        <v>79.599999999999994</v>
      </c>
      <c r="E1106" s="187">
        <v>0.10249307479224365</v>
      </c>
      <c r="F1106">
        <v>30.22</v>
      </c>
    </row>
    <row r="1107" spans="1:6">
      <c r="A1107">
        <v>6153</v>
      </c>
      <c r="B1107" t="s">
        <v>1276</v>
      </c>
      <c r="C1107">
        <v>22.95</v>
      </c>
      <c r="D1107">
        <f>VLOOKUP(A1107,收盤價!A:C,3,0)</f>
        <v>25.3</v>
      </c>
      <c r="E1107" s="187">
        <v>0.10239651416122011</v>
      </c>
      <c r="F1107">
        <v>30.16</v>
      </c>
    </row>
    <row r="1108" spans="1:6">
      <c r="A1108">
        <v>8072</v>
      </c>
      <c r="B1108" t="s">
        <v>1344</v>
      </c>
      <c r="C1108">
        <v>24</v>
      </c>
      <c r="D1108">
        <f>VLOOKUP(A1108,收盤價!A:C,3,0)</f>
        <v>26.45</v>
      </c>
      <c r="E1108" s="187">
        <v>0.1020833333333333</v>
      </c>
      <c r="F1108">
        <v>30.09</v>
      </c>
    </row>
    <row r="1109" spans="1:6">
      <c r="A1109">
        <v>6203</v>
      </c>
      <c r="B1109" t="s">
        <v>470</v>
      </c>
      <c r="C1109">
        <v>28.05</v>
      </c>
      <c r="D1109">
        <f>VLOOKUP(A1109,收盤價!A:C,3,0)</f>
        <v>30.9</v>
      </c>
      <c r="E1109" s="187">
        <v>0.10160427807486623</v>
      </c>
      <c r="F1109">
        <v>30.03</v>
      </c>
    </row>
    <row r="1110" spans="1:6">
      <c r="A1110">
        <v>5384</v>
      </c>
      <c r="B1110" t="s">
        <v>428</v>
      </c>
      <c r="C1110">
        <v>11.85</v>
      </c>
      <c r="D1110">
        <f>VLOOKUP(A1110,收盤價!A:C,3,0)</f>
        <v>13.05</v>
      </c>
      <c r="E1110" s="187">
        <v>0.10126582278481022</v>
      </c>
      <c r="F1110">
        <v>29.97</v>
      </c>
    </row>
    <row r="1111" spans="1:6">
      <c r="A1111">
        <v>6210</v>
      </c>
      <c r="B1111" t="s">
        <v>1747</v>
      </c>
      <c r="C1111">
        <v>40.299999999999997</v>
      </c>
      <c r="D1111">
        <f>VLOOKUP(A1111,收盤價!A:C,3,0)</f>
        <v>44.35</v>
      </c>
      <c r="E1111" s="187">
        <v>0.10049627791563287</v>
      </c>
      <c r="F1111">
        <v>29.91</v>
      </c>
    </row>
    <row r="1112" spans="1:6">
      <c r="A1112">
        <v>1218</v>
      </c>
      <c r="B1112" t="s">
        <v>560</v>
      </c>
      <c r="C1112">
        <v>9.77</v>
      </c>
      <c r="D1112">
        <f>VLOOKUP(A1112,收盤價!A:C,3,0)</f>
        <v>10.75</v>
      </c>
      <c r="E1112" s="187">
        <v>0.1003070624360287</v>
      </c>
      <c r="F1112">
        <v>29.84</v>
      </c>
    </row>
    <row r="1113" spans="1:6">
      <c r="A1113">
        <v>4139</v>
      </c>
      <c r="B1113" t="s">
        <v>1576</v>
      </c>
      <c r="C1113">
        <v>66.8</v>
      </c>
      <c r="D1113">
        <f>VLOOKUP(A1113,收盤價!A:C,3,0)</f>
        <v>73.5</v>
      </c>
      <c r="E1113" s="187">
        <v>0.10029940119760483</v>
      </c>
      <c r="F1113">
        <v>29.78</v>
      </c>
    </row>
    <row r="1114" spans="1:6">
      <c r="A1114">
        <v>6195</v>
      </c>
      <c r="B1114" t="s">
        <v>469</v>
      </c>
      <c r="C1114">
        <v>45</v>
      </c>
      <c r="D1114">
        <f>VLOOKUP(A1114,收盤價!A:C,3,0)</f>
        <v>49.5</v>
      </c>
      <c r="E1114" s="187">
        <v>0.1</v>
      </c>
      <c r="F1114">
        <v>29.72</v>
      </c>
    </row>
    <row r="1115" spans="1:6">
      <c r="A1115">
        <v>1414</v>
      </c>
      <c r="B1115" t="s">
        <v>601</v>
      </c>
      <c r="C1115">
        <v>6.15</v>
      </c>
      <c r="D1115">
        <f>VLOOKUP(A1115,收盤價!A:C,3,0)</f>
        <v>6.76</v>
      </c>
      <c r="E1115" s="187">
        <v>9.9186991869918598E-2</v>
      </c>
      <c r="F1115">
        <v>29.65</v>
      </c>
    </row>
    <row r="1116" spans="1:6">
      <c r="A1116">
        <v>6221</v>
      </c>
      <c r="B1116" t="s">
        <v>474</v>
      </c>
      <c r="C1116">
        <v>21.2</v>
      </c>
      <c r="D1116">
        <f>VLOOKUP(A1116,收盤價!A:C,3,0)</f>
        <v>23.3</v>
      </c>
      <c r="E1116" s="187">
        <v>9.9056603773584981E-2</v>
      </c>
      <c r="F1116">
        <v>29.59</v>
      </c>
    </row>
    <row r="1117" spans="1:6">
      <c r="A1117">
        <v>4976</v>
      </c>
      <c r="B1117" t="s">
        <v>1222</v>
      </c>
      <c r="C1117">
        <v>14.7</v>
      </c>
      <c r="D1117">
        <f>VLOOKUP(A1117,收盤價!A:C,3,0)</f>
        <v>16.149999999999999</v>
      </c>
      <c r="E1117" s="187">
        <v>9.8639455782312882E-2</v>
      </c>
      <c r="F1117">
        <v>29.53</v>
      </c>
    </row>
    <row r="1118" spans="1:6">
      <c r="A1118">
        <v>6176</v>
      </c>
      <c r="B1118" t="s">
        <v>1283</v>
      </c>
      <c r="C1118">
        <v>83.2</v>
      </c>
      <c r="D1118">
        <f>VLOOKUP(A1118,收盤價!A:C,3,0)</f>
        <v>91.4</v>
      </c>
      <c r="E1118" s="187">
        <v>9.8557692307692332E-2</v>
      </c>
      <c r="F1118">
        <v>29.46</v>
      </c>
    </row>
    <row r="1119" spans="1:6">
      <c r="A1119">
        <v>1710</v>
      </c>
      <c r="B1119" t="s">
        <v>705</v>
      </c>
      <c r="C1119">
        <v>20.5</v>
      </c>
      <c r="D1119">
        <f>VLOOKUP(A1119,收盤價!A:C,3,0)</f>
        <v>22.5</v>
      </c>
      <c r="E1119" s="187">
        <v>9.7560975609756101E-2</v>
      </c>
      <c r="F1119">
        <v>29.4</v>
      </c>
    </row>
    <row r="1120" spans="1:6">
      <c r="A1120">
        <v>5291</v>
      </c>
      <c r="B1120" t="s">
        <v>416</v>
      </c>
      <c r="C1120">
        <v>16</v>
      </c>
      <c r="D1120">
        <f>VLOOKUP(A1120,收盤價!A:C,3,0)</f>
        <v>17.55</v>
      </c>
      <c r="E1120" s="187">
        <v>9.6875000000000044E-2</v>
      </c>
      <c r="F1120">
        <v>29.34</v>
      </c>
    </row>
    <row r="1121" spans="1:6">
      <c r="A1121">
        <v>911619</v>
      </c>
      <c r="B1121" t="s">
        <v>1389</v>
      </c>
      <c r="C1121">
        <v>1.24</v>
      </c>
      <c r="D1121">
        <f>VLOOKUP(A1121,收盤價!A:C,3,0)</f>
        <v>1.36</v>
      </c>
      <c r="E1121" s="187">
        <v>9.6774193548387177E-2</v>
      </c>
      <c r="F1121">
        <v>29.27</v>
      </c>
    </row>
    <row r="1122" spans="1:6">
      <c r="A1122">
        <v>2380</v>
      </c>
      <c r="B1122" t="s">
        <v>852</v>
      </c>
      <c r="C1122">
        <v>6.75</v>
      </c>
      <c r="D1122">
        <f>VLOOKUP(A1122,收盤價!A:C,3,0)</f>
        <v>7.4</v>
      </c>
      <c r="E1122" s="187">
        <v>9.6296296296296352E-2</v>
      </c>
      <c r="F1122">
        <v>29.21</v>
      </c>
    </row>
    <row r="1123" spans="1:6">
      <c r="A1123">
        <v>2488</v>
      </c>
      <c r="B1123" t="s">
        <v>931</v>
      </c>
      <c r="C1123">
        <v>25.6</v>
      </c>
      <c r="D1123">
        <f>VLOOKUP(A1123,收盤價!A:C,3,0)</f>
        <v>28.05</v>
      </c>
      <c r="E1123" s="187">
        <v>9.5703124999999972E-2</v>
      </c>
      <c r="F1123">
        <v>29.15</v>
      </c>
    </row>
    <row r="1124" spans="1:6">
      <c r="A1124">
        <v>3570</v>
      </c>
      <c r="B1124" t="s">
        <v>1542</v>
      </c>
      <c r="C1124">
        <v>68.5</v>
      </c>
      <c r="D1124">
        <f>VLOOKUP(A1124,收盤價!A:C,3,0)</f>
        <v>75</v>
      </c>
      <c r="E1124" s="187">
        <v>9.4890510948905105E-2</v>
      </c>
      <c r="F1124">
        <v>29.09</v>
      </c>
    </row>
    <row r="1125" spans="1:6">
      <c r="A1125">
        <v>4305</v>
      </c>
      <c r="B1125" t="s">
        <v>1589</v>
      </c>
      <c r="C1125">
        <v>24.4</v>
      </c>
      <c r="D1125">
        <f>VLOOKUP(A1125,收盤價!A:C,3,0)</f>
        <v>26.7</v>
      </c>
      <c r="E1125" s="187">
        <v>9.4262295081967248E-2</v>
      </c>
      <c r="F1125">
        <v>29.02</v>
      </c>
    </row>
    <row r="1126" spans="1:6">
      <c r="A1126">
        <v>4953</v>
      </c>
      <c r="B1126" t="s">
        <v>1630</v>
      </c>
      <c r="C1126">
        <v>20.2</v>
      </c>
      <c r="D1126">
        <f>VLOOKUP(A1126,收盤價!A:C,3,0)</f>
        <v>22.1</v>
      </c>
      <c r="E1126" s="187">
        <v>9.4059405940594171E-2</v>
      </c>
      <c r="F1126">
        <v>28.96</v>
      </c>
    </row>
    <row r="1127" spans="1:6">
      <c r="A1127">
        <v>1570</v>
      </c>
      <c r="B1127" t="s">
        <v>1441</v>
      </c>
      <c r="C1127">
        <v>17.55</v>
      </c>
      <c r="D1127">
        <f>VLOOKUP(A1127,收盤價!A:C,3,0)</f>
        <v>19.2</v>
      </c>
      <c r="E1127" s="187">
        <v>9.4017094017093933E-2</v>
      </c>
      <c r="F1127">
        <v>28.9</v>
      </c>
    </row>
    <row r="1128" spans="1:6">
      <c r="A1128">
        <v>5471</v>
      </c>
      <c r="B1128" t="s">
        <v>1242</v>
      </c>
      <c r="C1128">
        <v>31.4</v>
      </c>
      <c r="D1128">
        <f>VLOOKUP(A1128,收盤價!A:C,3,0)</f>
        <v>34.35</v>
      </c>
      <c r="E1128" s="187">
        <v>9.3949044585987351E-2</v>
      </c>
      <c r="F1128">
        <v>28.83</v>
      </c>
    </row>
    <row r="1129" spans="1:6">
      <c r="A1129">
        <v>5347</v>
      </c>
      <c r="B1129" t="s">
        <v>424</v>
      </c>
      <c r="C1129">
        <v>37.450000000000003</v>
      </c>
      <c r="D1129">
        <f>VLOOKUP(A1129,收盤價!A:C,3,0)</f>
        <v>40.950000000000003</v>
      </c>
      <c r="E1129" s="187">
        <v>9.3457943925233641E-2</v>
      </c>
      <c r="F1129">
        <v>28.77</v>
      </c>
    </row>
    <row r="1130" spans="1:6">
      <c r="A1130">
        <v>1453</v>
      </c>
      <c r="B1130" t="s">
        <v>625</v>
      </c>
      <c r="C1130">
        <v>7.72</v>
      </c>
      <c r="D1130">
        <f>VLOOKUP(A1130,收盤價!A:C,3,0)</f>
        <v>8.44</v>
      </c>
      <c r="E1130" s="187">
        <v>9.3264248704663183E-2</v>
      </c>
      <c r="F1130">
        <v>28.71</v>
      </c>
    </row>
    <row r="1131" spans="1:6">
      <c r="A1131">
        <v>3071</v>
      </c>
      <c r="B1131" t="s">
        <v>1470</v>
      </c>
      <c r="C1131">
        <v>5.92</v>
      </c>
      <c r="D1131">
        <f>VLOOKUP(A1131,收盤價!A:C,3,0)</f>
        <v>6.47</v>
      </c>
      <c r="E1131" s="187">
        <v>9.2905405405405372E-2</v>
      </c>
      <c r="F1131">
        <v>28.64</v>
      </c>
    </row>
    <row r="1132" spans="1:6">
      <c r="A1132">
        <v>3284</v>
      </c>
      <c r="B1132" t="s">
        <v>311</v>
      </c>
      <c r="C1132">
        <v>8.7799999999999994</v>
      </c>
      <c r="D1132">
        <f>VLOOKUP(A1132,收盤價!A:C,3,0)</f>
        <v>9.59</v>
      </c>
      <c r="E1132" s="187">
        <v>9.2255125284738101E-2</v>
      </c>
      <c r="F1132">
        <v>28.58</v>
      </c>
    </row>
    <row r="1133" spans="1:6">
      <c r="A1133">
        <v>9942</v>
      </c>
      <c r="B1133" t="s">
        <v>1430</v>
      </c>
      <c r="C1133">
        <v>67.3</v>
      </c>
      <c r="D1133">
        <f>VLOOKUP(A1133,收盤價!A:C,3,0)</f>
        <v>73.5</v>
      </c>
      <c r="E1133" s="187">
        <v>9.2124814264487417E-2</v>
      </c>
      <c r="F1133">
        <v>28.52</v>
      </c>
    </row>
    <row r="1134" spans="1:6">
      <c r="A1134">
        <v>2537</v>
      </c>
      <c r="B1134" t="s">
        <v>958</v>
      </c>
      <c r="C1134">
        <v>7.5</v>
      </c>
      <c r="D1134">
        <f>VLOOKUP(A1134,收盤價!A:C,3,0)</f>
        <v>8.19</v>
      </c>
      <c r="E1134" s="187">
        <v>9.1999999999999929E-2</v>
      </c>
      <c r="F1134">
        <v>28.45</v>
      </c>
    </row>
    <row r="1135" spans="1:6">
      <c r="A1135">
        <v>1445</v>
      </c>
      <c r="B1135" t="s">
        <v>619</v>
      </c>
      <c r="C1135">
        <v>8.75</v>
      </c>
      <c r="D1135">
        <f>VLOOKUP(A1135,收盤價!A:C,3,0)</f>
        <v>9.5500000000000007</v>
      </c>
      <c r="E1135" s="187">
        <v>9.1428571428571512E-2</v>
      </c>
      <c r="F1135">
        <v>28.39</v>
      </c>
    </row>
    <row r="1136" spans="1:6">
      <c r="A1136">
        <v>1735</v>
      </c>
      <c r="B1136" t="s">
        <v>727</v>
      </c>
      <c r="C1136">
        <v>10.95</v>
      </c>
      <c r="D1136">
        <f>VLOOKUP(A1136,收盤價!A:C,3,0)</f>
        <v>11.95</v>
      </c>
      <c r="E1136" s="187">
        <v>9.1324200913242018E-2</v>
      </c>
      <c r="F1136">
        <v>28.33</v>
      </c>
    </row>
    <row r="1137" spans="1:6">
      <c r="A1137">
        <v>3030</v>
      </c>
      <c r="B1137" t="s">
        <v>1070</v>
      </c>
      <c r="C1137">
        <v>48.3</v>
      </c>
      <c r="D1137">
        <f>VLOOKUP(A1137,收盤價!A:C,3,0)</f>
        <v>52.7</v>
      </c>
      <c r="E1137" s="187">
        <v>9.1097308488612957E-2</v>
      </c>
      <c r="F1137">
        <v>28.26</v>
      </c>
    </row>
    <row r="1138" spans="1:6">
      <c r="A1138">
        <v>6122</v>
      </c>
      <c r="B1138" t="s">
        <v>1718</v>
      </c>
      <c r="C1138">
        <v>5.98</v>
      </c>
      <c r="D1138">
        <f>VLOOKUP(A1138,收盤價!A:C,3,0)</f>
        <v>6.52</v>
      </c>
      <c r="E1138" s="187">
        <v>9.0301003344481462E-2</v>
      </c>
      <c r="F1138">
        <v>28.2</v>
      </c>
    </row>
    <row r="1139" spans="1:6">
      <c r="A1139">
        <v>1729</v>
      </c>
      <c r="B1139" t="s">
        <v>721</v>
      </c>
      <c r="C1139">
        <v>67.900000000000006</v>
      </c>
      <c r="D1139">
        <f>VLOOKUP(A1139,收盤價!A:C,3,0)</f>
        <v>74</v>
      </c>
      <c r="E1139" s="187">
        <v>8.9837997054491803E-2</v>
      </c>
      <c r="F1139">
        <v>28.14</v>
      </c>
    </row>
    <row r="1140" spans="1:6">
      <c r="A1140">
        <v>5907</v>
      </c>
      <c r="B1140" t="s">
        <v>1259</v>
      </c>
      <c r="C1140">
        <v>28</v>
      </c>
      <c r="D1140">
        <f>VLOOKUP(A1140,收盤價!A:C,3,0)</f>
        <v>30.5</v>
      </c>
      <c r="E1140" s="187">
        <v>8.9285714285714288E-2</v>
      </c>
      <c r="F1140">
        <v>28.08</v>
      </c>
    </row>
    <row r="1141" spans="1:6">
      <c r="A1141">
        <v>2038</v>
      </c>
      <c r="B1141" t="s">
        <v>773</v>
      </c>
      <c r="C1141">
        <v>5.17</v>
      </c>
      <c r="D1141">
        <f>VLOOKUP(A1141,收盤價!A:C,3,0)</f>
        <v>5.63</v>
      </c>
      <c r="E1141" s="187">
        <v>8.8974854932301742E-2</v>
      </c>
      <c r="F1141">
        <v>28.01</v>
      </c>
    </row>
    <row r="1142" spans="1:6">
      <c r="A1142">
        <v>2312</v>
      </c>
      <c r="B1142" t="s">
        <v>803</v>
      </c>
      <c r="C1142">
        <v>9</v>
      </c>
      <c r="D1142">
        <f>VLOOKUP(A1142,收盤價!A:C,3,0)</f>
        <v>9.8000000000000007</v>
      </c>
      <c r="E1142" s="187">
        <v>8.8888888888888962E-2</v>
      </c>
      <c r="F1142">
        <v>27.95</v>
      </c>
    </row>
    <row r="1143" spans="1:6">
      <c r="A1143">
        <v>2836</v>
      </c>
      <c r="B1143" t="s">
        <v>1007</v>
      </c>
      <c r="C1143">
        <v>8.1199999999999992</v>
      </c>
      <c r="D1143">
        <f>VLOOKUP(A1143,收盤價!A:C,3,0)</f>
        <v>8.84</v>
      </c>
      <c r="E1143" s="187">
        <v>8.8669950738916342E-2</v>
      </c>
      <c r="F1143">
        <v>27.89</v>
      </c>
    </row>
    <row r="1144" spans="1:6">
      <c r="A1144">
        <v>4903</v>
      </c>
      <c r="B1144" t="s">
        <v>1622</v>
      </c>
      <c r="C1144">
        <v>8.91</v>
      </c>
      <c r="D1144">
        <f>VLOOKUP(A1144,收盤價!A:C,3,0)</f>
        <v>9.6999999999999993</v>
      </c>
      <c r="E1144" s="187">
        <v>8.8664421997755233E-2</v>
      </c>
      <c r="F1144">
        <v>27.82</v>
      </c>
    </row>
    <row r="1145" spans="1:6">
      <c r="A1145">
        <v>2849</v>
      </c>
      <c r="B1145" t="s">
        <v>1012</v>
      </c>
      <c r="C1145">
        <v>14.8</v>
      </c>
      <c r="D1145">
        <f>VLOOKUP(A1145,收盤價!A:C,3,0)</f>
        <v>16.100000000000001</v>
      </c>
      <c r="E1145" s="187">
        <v>8.7837837837837884E-2</v>
      </c>
      <c r="F1145">
        <v>27.76</v>
      </c>
    </row>
    <row r="1146" spans="1:6">
      <c r="A1146">
        <v>9110</v>
      </c>
      <c r="B1146" t="s">
        <v>1384</v>
      </c>
      <c r="C1146">
        <v>3.66</v>
      </c>
      <c r="D1146">
        <f>VLOOKUP(A1146,收盤價!A:C,3,0)</f>
        <v>3.98</v>
      </c>
      <c r="E1146" s="187">
        <v>8.7431693989070997E-2</v>
      </c>
      <c r="F1146">
        <v>27.7</v>
      </c>
    </row>
    <row r="1147" spans="1:6">
      <c r="A1147">
        <v>3553</v>
      </c>
      <c r="B1147" t="s">
        <v>344</v>
      </c>
      <c r="C1147">
        <v>12.6</v>
      </c>
      <c r="D1147">
        <f>VLOOKUP(A1147,收盤價!A:C,3,0)</f>
        <v>13.7</v>
      </c>
      <c r="E1147" s="187">
        <v>8.7301587301587269E-2</v>
      </c>
      <c r="F1147">
        <v>27.63</v>
      </c>
    </row>
    <row r="1148" spans="1:6">
      <c r="A1148">
        <v>1259</v>
      </c>
      <c r="B1148" t="s">
        <v>261</v>
      </c>
      <c r="C1148">
        <v>58.5</v>
      </c>
      <c r="D1148">
        <f>VLOOKUP(A1148,收盤價!A:C,3,0)</f>
        <v>63.6</v>
      </c>
      <c r="E1148" s="187">
        <v>8.7179487179487203E-2</v>
      </c>
      <c r="F1148">
        <v>27.57</v>
      </c>
    </row>
    <row r="1149" spans="1:6">
      <c r="A1149">
        <v>1439</v>
      </c>
      <c r="B1149" t="s">
        <v>613</v>
      </c>
      <c r="C1149">
        <v>11.5</v>
      </c>
      <c r="D1149">
        <f>VLOOKUP(A1149,收盤價!A:C,3,0)</f>
        <v>12.5</v>
      </c>
      <c r="E1149" s="187">
        <v>8.6956521739130432E-2</v>
      </c>
      <c r="F1149">
        <v>27.51</v>
      </c>
    </row>
    <row r="1150" spans="1:6">
      <c r="A1150">
        <v>2847</v>
      </c>
      <c r="B1150" t="s">
        <v>1011</v>
      </c>
      <c r="C1150">
        <v>12.65</v>
      </c>
      <c r="D1150">
        <f>VLOOKUP(A1150,收盤價!A:C,3,0)</f>
        <v>13.75</v>
      </c>
      <c r="E1150" s="187">
        <v>8.6956521739130405E-2</v>
      </c>
      <c r="F1150">
        <v>27.44</v>
      </c>
    </row>
    <row r="1151" spans="1:6">
      <c r="A1151">
        <v>2474</v>
      </c>
      <c r="B1151" t="s">
        <v>919</v>
      </c>
      <c r="C1151">
        <v>294.5</v>
      </c>
      <c r="D1151">
        <f>VLOOKUP(A1151,收盤價!A:C,3,0)</f>
        <v>320</v>
      </c>
      <c r="E1151" s="187">
        <v>8.6587436332767401E-2</v>
      </c>
      <c r="F1151">
        <v>27.38</v>
      </c>
    </row>
    <row r="1152" spans="1:6">
      <c r="A1152">
        <v>6218</v>
      </c>
      <c r="B1152" t="s">
        <v>1750</v>
      </c>
      <c r="C1152">
        <v>15.6</v>
      </c>
      <c r="D1152">
        <f>VLOOKUP(A1152,收盤價!A:C,3,0)</f>
        <v>16.95</v>
      </c>
      <c r="E1152" s="187">
        <v>8.6538461538461522E-2</v>
      </c>
      <c r="F1152">
        <v>27.32</v>
      </c>
    </row>
    <row r="1153" spans="1:6">
      <c r="A1153">
        <v>6247</v>
      </c>
      <c r="B1153" t="s">
        <v>1759</v>
      </c>
      <c r="C1153">
        <v>13.3</v>
      </c>
      <c r="D1153">
        <f>VLOOKUP(A1153,收盤價!A:C,3,0)</f>
        <v>14.45</v>
      </c>
      <c r="E1153" s="187">
        <v>8.6466165413533719E-2</v>
      </c>
      <c r="F1153">
        <v>27.26</v>
      </c>
    </row>
    <row r="1154" spans="1:6">
      <c r="A1154">
        <v>5880</v>
      </c>
      <c r="B1154" t="s">
        <v>1257</v>
      </c>
      <c r="C1154">
        <v>12.85</v>
      </c>
      <c r="D1154">
        <f>VLOOKUP(A1154,收盤價!A:C,3,0)</f>
        <v>13.95</v>
      </c>
      <c r="E1154" s="187">
        <v>8.56031128404669E-2</v>
      </c>
      <c r="F1154">
        <v>27.19</v>
      </c>
    </row>
    <row r="1155" spans="1:6">
      <c r="A1155">
        <v>2884</v>
      </c>
      <c r="B1155" t="s">
        <v>1023</v>
      </c>
      <c r="C1155">
        <v>18.2</v>
      </c>
      <c r="D1155">
        <f>VLOOKUP(A1155,收盤價!A:C,3,0)</f>
        <v>19.75</v>
      </c>
      <c r="E1155" s="187">
        <v>8.5164835164835209E-2</v>
      </c>
      <c r="F1155">
        <v>27.13</v>
      </c>
    </row>
    <row r="1156" spans="1:6">
      <c r="A1156">
        <v>3028</v>
      </c>
      <c r="B1156" t="s">
        <v>1068</v>
      </c>
      <c r="C1156">
        <v>14.7</v>
      </c>
      <c r="D1156">
        <f>VLOOKUP(A1156,收盤價!A:C,3,0)</f>
        <v>15.95</v>
      </c>
      <c r="E1156" s="187">
        <v>8.5034013605442174E-2</v>
      </c>
      <c r="F1156">
        <v>27.07</v>
      </c>
    </row>
    <row r="1157" spans="1:6">
      <c r="A1157">
        <v>2207</v>
      </c>
      <c r="B1157" t="s">
        <v>791</v>
      </c>
      <c r="C1157">
        <v>320.5</v>
      </c>
      <c r="D1157">
        <f>VLOOKUP(A1157,收盤價!A:C,3,0)</f>
        <v>347.5</v>
      </c>
      <c r="E1157" s="187">
        <v>8.4243369734789394E-2</v>
      </c>
      <c r="F1157">
        <v>27</v>
      </c>
    </row>
    <row r="1158" spans="1:6">
      <c r="A1158">
        <v>1718</v>
      </c>
      <c r="B1158" t="s">
        <v>712</v>
      </c>
      <c r="C1158">
        <v>8.08</v>
      </c>
      <c r="D1158">
        <f>VLOOKUP(A1158,收盤價!A:C,3,0)</f>
        <v>8.76</v>
      </c>
      <c r="E1158" s="187">
        <v>8.4158415841584122E-2</v>
      </c>
      <c r="F1158">
        <v>26.94</v>
      </c>
    </row>
    <row r="1159" spans="1:6">
      <c r="A1159">
        <v>1454</v>
      </c>
      <c r="B1159" t="s">
        <v>626</v>
      </c>
      <c r="C1159">
        <v>8.82</v>
      </c>
      <c r="D1159">
        <f>VLOOKUP(A1159,收盤價!A:C,3,0)</f>
        <v>9.56</v>
      </c>
      <c r="E1159" s="187">
        <v>8.3900226757369634E-2</v>
      </c>
      <c r="F1159">
        <v>26.88</v>
      </c>
    </row>
    <row r="1160" spans="1:6">
      <c r="A1160">
        <v>3550</v>
      </c>
      <c r="B1160" t="s">
        <v>1146</v>
      </c>
      <c r="C1160">
        <v>11.4</v>
      </c>
      <c r="D1160">
        <f>VLOOKUP(A1160,收盤價!A:C,3,0)</f>
        <v>12.35</v>
      </c>
      <c r="E1160" s="187">
        <v>8.3333333333333273E-2</v>
      </c>
      <c r="F1160">
        <v>26.81</v>
      </c>
    </row>
    <row r="1161" spans="1:6">
      <c r="A1161">
        <v>5820</v>
      </c>
      <c r="B1161" t="s">
        <v>1701</v>
      </c>
      <c r="C1161">
        <v>6.8</v>
      </c>
      <c r="D1161">
        <f>VLOOKUP(A1161,收盤價!A:C,3,0)</f>
        <v>7.36</v>
      </c>
      <c r="E1161" s="187">
        <v>8.235294117647067E-2</v>
      </c>
      <c r="F1161">
        <v>26.75</v>
      </c>
    </row>
    <row r="1162" spans="1:6">
      <c r="A1162">
        <v>2611</v>
      </c>
      <c r="B1162" t="s">
        <v>977</v>
      </c>
      <c r="C1162">
        <v>7.3</v>
      </c>
      <c r="D1162">
        <f>VLOOKUP(A1162,收盤價!A:C,3,0)</f>
        <v>7.9</v>
      </c>
      <c r="E1162" s="187">
        <v>8.2191780821917887E-2</v>
      </c>
      <c r="F1162">
        <v>26.69</v>
      </c>
    </row>
    <row r="1163" spans="1:6">
      <c r="A1163">
        <v>8423</v>
      </c>
      <c r="B1163" t="s">
        <v>1832</v>
      </c>
      <c r="C1163">
        <v>22.55</v>
      </c>
      <c r="D1163">
        <f>VLOOKUP(A1163,收盤價!A:C,3,0)</f>
        <v>24.4</v>
      </c>
      <c r="E1163" s="187">
        <v>8.20399113082039E-2</v>
      </c>
      <c r="F1163">
        <v>26.62</v>
      </c>
    </row>
    <row r="1164" spans="1:6">
      <c r="A1164">
        <v>4205</v>
      </c>
      <c r="B1164" t="s">
        <v>1586</v>
      </c>
      <c r="C1164">
        <v>35.9</v>
      </c>
      <c r="D1164">
        <f>VLOOKUP(A1164,收盤價!A:C,3,0)</f>
        <v>38.799999999999997</v>
      </c>
      <c r="E1164" s="187">
        <v>8.0779944289693553E-2</v>
      </c>
      <c r="F1164">
        <v>26.56</v>
      </c>
    </row>
    <row r="1165" spans="1:6">
      <c r="A1165">
        <v>1470</v>
      </c>
      <c r="B1165" t="s">
        <v>639</v>
      </c>
      <c r="C1165">
        <v>16.100000000000001</v>
      </c>
      <c r="D1165">
        <f>VLOOKUP(A1165,收盤價!A:C,3,0)</f>
        <v>17.399999999999999</v>
      </c>
      <c r="E1165" s="187">
        <v>8.0745341614906652E-2</v>
      </c>
      <c r="F1165">
        <v>26.5</v>
      </c>
    </row>
    <row r="1166" spans="1:6">
      <c r="A1166">
        <v>3388</v>
      </c>
      <c r="B1166" t="s">
        <v>326</v>
      </c>
      <c r="C1166">
        <v>57</v>
      </c>
      <c r="D1166">
        <f>VLOOKUP(A1166,收盤價!A:C,3,0)</f>
        <v>61.6</v>
      </c>
      <c r="E1166" s="187">
        <v>8.0701754385964941E-2</v>
      </c>
      <c r="F1166">
        <v>26.44</v>
      </c>
    </row>
    <row r="1167" spans="1:6">
      <c r="A1167">
        <v>8042</v>
      </c>
      <c r="B1167" t="s">
        <v>1782</v>
      </c>
      <c r="C1167">
        <v>32.9</v>
      </c>
      <c r="D1167">
        <f>VLOOKUP(A1167,收盤價!A:C,3,0)</f>
        <v>35.549999999999997</v>
      </c>
      <c r="E1167" s="187">
        <v>8.0547112462006035E-2</v>
      </c>
      <c r="F1167">
        <v>26.37</v>
      </c>
    </row>
    <row r="1168" spans="1:6">
      <c r="A1168">
        <v>2302</v>
      </c>
      <c r="B1168" t="s">
        <v>798</v>
      </c>
      <c r="C1168">
        <v>5.98</v>
      </c>
      <c r="D1168">
        <f>VLOOKUP(A1168,收盤價!A:C,3,0)</f>
        <v>6.46</v>
      </c>
      <c r="E1168" s="187">
        <v>8.0267558528428012E-2</v>
      </c>
      <c r="F1168">
        <v>26.31</v>
      </c>
    </row>
    <row r="1169" spans="1:6">
      <c r="A1169">
        <v>3130</v>
      </c>
      <c r="B1169" t="s">
        <v>1102</v>
      </c>
      <c r="C1169">
        <v>132</v>
      </c>
      <c r="D1169">
        <f>VLOOKUP(A1169,收盤價!A:C,3,0)</f>
        <v>142.5</v>
      </c>
      <c r="E1169" s="187">
        <v>7.9545454545454544E-2</v>
      </c>
      <c r="F1169">
        <v>26.25</v>
      </c>
    </row>
    <row r="1170" spans="1:6">
      <c r="A1170">
        <v>3356</v>
      </c>
      <c r="B1170" t="s">
        <v>1119</v>
      </c>
      <c r="C1170">
        <v>71.099999999999994</v>
      </c>
      <c r="D1170">
        <f>VLOOKUP(A1170,收盤價!A:C,3,0)</f>
        <v>76.7</v>
      </c>
      <c r="E1170" s="187">
        <v>7.8762306610408006E-2</v>
      </c>
      <c r="F1170">
        <v>26.18</v>
      </c>
    </row>
    <row r="1171" spans="1:6">
      <c r="A1171">
        <v>5014</v>
      </c>
      <c r="B1171" t="s">
        <v>1639</v>
      </c>
      <c r="C1171">
        <v>6.51</v>
      </c>
      <c r="D1171">
        <f>VLOOKUP(A1171,收盤價!A:C,3,0)</f>
        <v>7.02</v>
      </c>
      <c r="E1171" s="187">
        <v>7.8341013824884759E-2</v>
      </c>
      <c r="F1171">
        <v>26.12</v>
      </c>
    </row>
    <row r="1172" spans="1:6">
      <c r="A1172">
        <v>6449</v>
      </c>
      <c r="B1172" t="s">
        <v>1329</v>
      </c>
      <c r="C1172">
        <v>24.9</v>
      </c>
      <c r="D1172">
        <f>VLOOKUP(A1172,收盤價!A:C,3,0)</f>
        <v>26.85</v>
      </c>
      <c r="E1172" s="187">
        <v>7.8313253012048306E-2</v>
      </c>
      <c r="F1172">
        <v>26.06</v>
      </c>
    </row>
    <row r="1173" spans="1:6">
      <c r="A1173">
        <v>8411</v>
      </c>
      <c r="B1173" t="s">
        <v>1366</v>
      </c>
      <c r="C1173">
        <v>23.85</v>
      </c>
      <c r="D1173">
        <f>VLOOKUP(A1173,收盤價!A:C,3,0)</f>
        <v>25.7</v>
      </c>
      <c r="E1173" s="187">
        <v>7.7568134171907666E-2</v>
      </c>
      <c r="F1173">
        <v>25.99</v>
      </c>
    </row>
    <row r="1174" spans="1:6">
      <c r="A1174">
        <v>1256</v>
      </c>
      <c r="B1174" t="s">
        <v>1438</v>
      </c>
      <c r="C1174">
        <v>129</v>
      </c>
      <c r="D1174">
        <f>VLOOKUP(A1174,收盤價!A:C,3,0)</f>
        <v>139</v>
      </c>
      <c r="E1174" s="187">
        <v>7.7519379844961239E-2</v>
      </c>
      <c r="F1174">
        <v>25.93</v>
      </c>
    </row>
    <row r="1175" spans="1:6">
      <c r="A1175">
        <v>3232</v>
      </c>
      <c r="B1175" t="s">
        <v>304</v>
      </c>
      <c r="C1175">
        <v>27.85</v>
      </c>
      <c r="D1175">
        <f>VLOOKUP(A1175,收盤價!A:C,3,0)</f>
        <v>30</v>
      </c>
      <c r="E1175" s="187">
        <v>7.7199281867145364E-2</v>
      </c>
      <c r="F1175">
        <v>25.87</v>
      </c>
    </row>
    <row r="1176" spans="1:6">
      <c r="A1176">
        <v>4503</v>
      </c>
      <c r="B1176" t="s">
        <v>381</v>
      </c>
      <c r="C1176">
        <v>11.7</v>
      </c>
      <c r="D1176">
        <f>VLOOKUP(A1176,收盤價!A:C,3,0)</f>
        <v>12.6</v>
      </c>
      <c r="E1176" s="187">
        <v>7.6923076923076955E-2</v>
      </c>
      <c r="F1176">
        <v>25.8</v>
      </c>
    </row>
    <row r="1177" spans="1:6">
      <c r="A1177">
        <v>2357</v>
      </c>
      <c r="B1177" t="s">
        <v>833</v>
      </c>
      <c r="C1177">
        <v>255.5</v>
      </c>
      <c r="D1177">
        <f>VLOOKUP(A1177,收盤價!A:C,3,0)</f>
        <v>275</v>
      </c>
      <c r="E1177" s="187">
        <v>7.6320939334637961E-2</v>
      </c>
      <c r="F1177">
        <v>25.74</v>
      </c>
    </row>
    <row r="1178" spans="1:6">
      <c r="A1178">
        <v>3481</v>
      </c>
      <c r="B1178" t="s">
        <v>1133</v>
      </c>
      <c r="C1178">
        <v>9.48</v>
      </c>
      <c r="D1178">
        <f>VLOOKUP(A1178,收盤價!A:C,3,0)</f>
        <v>10.199999999999999</v>
      </c>
      <c r="E1178" s="187">
        <v>7.5949367088607472E-2</v>
      </c>
      <c r="F1178">
        <v>25.68</v>
      </c>
    </row>
    <row r="1179" spans="1:6">
      <c r="A1179">
        <v>2449</v>
      </c>
      <c r="B1179" t="s">
        <v>900</v>
      </c>
      <c r="C1179">
        <v>19.100000000000001</v>
      </c>
      <c r="D1179">
        <f>VLOOKUP(A1179,收盤價!A:C,3,0)</f>
        <v>20.55</v>
      </c>
      <c r="E1179" s="187">
        <v>7.5916230366492102E-2</v>
      </c>
      <c r="F1179">
        <v>25.62</v>
      </c>
    </row>
    <row r="1180" spans="1:6">
      <c r="A1180">
        <v>6118</v>
      </c>
      <c r="B1180" t="s">
        <v>1717</v>
      </c>
      <c r="C1180">
        <v>7</v>
      </c>
      <c r="D1180">
        <f>VLOOKUP(A1180,收盤價!A:C,3,0)</f>
        <v>7.53</v>
      </c>
      <c r="E1180" s="187">
        <v>7.5714285714285748E-2</v>
      </c>
      <c r="F1180">
        <v>25.55</v>
      </c>
    </row>
    <row r="1181" spans="1:6">
      <c r="A1181">
        <v>2059</v>
      </c>
      <c r="B1181" t="s">
        <v>775</v>
      </c>
      <c r="C1181">
        <v>364.5</v>
      </c>
      <c r="D1181">
        <f>VLOOKUP(A1181,收盤價!A:C,3,0)</f>
        <v>392</v>
      </c>
      <c r="E1181" s="187">
        <v>7.5445816186556922E-2</v>
      </c>
      <c r="F1181">
        <v>25.49</v>
      </c>
    </row>
    <row r="1182" spans="1:6">
      <c r="A1182">
        <v>6108</v>
      </c>
      <c r="B1182" t="s">
        <v>1261</v>
      </c>
      <c r="C1182">
        <v>11.3</v>
      </c>
      <c r="D1182">
        <f>VLOOKUP(A1182,收盤價!A:C,3,0)</f>
        <v>12.15</v>
      </c>
      <c r="E1182" s="187">
        <v>7.5221238938053062E-2</v>
      </c>
      <c r="F1182">
        <v>25.43</v>
      </c>
    </row>
    <row r="1183" spans="1:6">
      <c r="A1183">
        <v>2885</v>
      </c>
      <c r="B1183" t="s">
        <v>1024</v>
      </c>
      <c r="C1183">
        <v>12</v>
      </c>
      <c r="D1183">
        <f>VLOOKUP(A1183,收盤價!A:C,3,0)</f>
        <v>12.9</v>
      </c>
      <c r="E1183" s="187">
        <v>7.5000000000000025E-2</v>
      </c>
      <c r="F1183">
        <v>25.36</v>
      </c>
    </row>
    <row r="1184" spans="1:6">
      <c r="A1184">
        <v>4303</v>
      </c>
      <c r="B1184" t="s">
        <v>1588</v>
      </c>
      <c r="C1184">
        <v>12</v>
      </c>
      <c r="D1184">
        <f>VLOOKUP(A1184,收盤價!A:C,3,0)</f>
        <v>12.9</v>
      </c>
      <c r="E1184" s="187">
        <v>7.5000000000000025E-2</v>
      </c>
      <c r="F1184">
        <v>25.3</v>
      </c>
    </row>
    <row r="1185" spans="1:6">
      <c r="A1185">
        <v>1313</v>
      </c>
      <c r="B1185" t="s">
        <v>583</v>
      </c>
      <c r="C1185">
        <v>8.4</v>
      </c>
      <c r="D1185">
        <f>VLOOKUP(A1185,收盤價!A:C,3,0)</f>
        <v>9.0299999999999994</v>
      </c>
      <c r="E1185" s="187">
        <v>7.4999999999999872E-2</v>
      </c>
      <c r="F1185">
        <v>25.24</v>
      </c>
    </row>
    <row r="1186" spans="1:6">
      <c r="A1186">
        <v>1904</v>
      </c>
      <c r="B1186" t="s">
        <v>744</v>
      </c>
      <c r="C1186">
        <v>10.7</v>
      </c>
      <c r="D1186">
        <f>VLOOKUP(A1186,收盤價!A:C,3,0)</f>
        <v>11.5</v>
      </c>
      <c r="E1186" s="187">
        <v>7.4766355140186994E-2</v>
      </c>
      <c r="F1186">
        <v>25.17</v>
      </c>
    </row>
    <row r="1187" spans="1:6">
      <c r="A1187">
        <v>2851</v>
      </c>
      <c r="B1187" t="s">
        <v>1014</v>
      </c>
      <c r="C1187">
        <v>14.05</v>
      </c>
      <c r="D1187">
        <f>VLOOKUP(A1187,收盤價!A:C,3,0)</f>
        <v>15.1</v>
      </c>
      <c r="E1187" s="187">
        <v>7.4733096085409179E-2</v>
      </c>
      <c r="F1187">
        <v>25.11</v>
      </c>
    </row>
    <row r="1188" spans="1:6">
      <c r="A1188">
        <v>5306</v>
      </c>
      <c r="B1188" t="s">
        <v>1654</v>
      </c>
      <c r="C1188">
        <v>128.5</v>
      </c>
      <c r="D1188">
        <f>VLOOKUP(A1188,收盤價!A:C,3,0)</f>
        <v>138</v>
      </c>
      <c r="E1188" s="187">
        <v>7.3929961089494164E-2</v>
      </c>
      <c r="F1188">
        <v>25.05</v>
      </c>
    </row>
    <row r="1189" spans="1:6">
      <c r="A1189">
        <v>2506</v>
      </c>
      <c r="B1189" t="s">
        <v>944</v>
      </c>
      <c r="C1189">
        <v>15</v>
      </c>
      <c r="D1189">
        <f>VLOOKUP(A1189,收盤價!A:C,3,0)</f>
        <v>16.100000000000001</v>
      </c>
      <c r="E1189" s="187">
        <v>7.3333333333333431E-2</v>
      </c>
      <c r="F1189">
        <v>24.98</v>
      </c>
    </row>
    <row r="1190" spans="1:6">
      <c r="A1190">
        <v>2049</v>
      </c>
      <c r="B1190" t="s">
        <v>774</v>
      </c>
      <c r="C1190">
        <v>150</v>
      </c>
      <c r="D1190">
        <f>VLOOKUP(A1190,收盤價!A:C,3,0)</f>
        <v>161</v>
      </c>
      <c r="E1190" s="187">
        <v>7.3333333333333334E-2</v>
      </c>
      <c r="F1190">
        <v>24.92</v>
      </c>
    </row>
    <row r="1191" spans="1:6">
      <c r="A1191">
        <v>6141</v>
      </c>
      <c r="B1191" t="s">
        <v>1272</v>
      </c>
      <c r="C1191">
        <v>7.92</v>
      </c>
      <c r="D1191">
        <f>VLOOKUP(A1191,收盤價!A:C,3,0)</f>
        <v>8.5</v>
      </c>
      <c r="E1191" s="187">
        <v>7.3232323232323246E-2</v>
      </c>
      <c r="F1191">
        <v>24.86</v>
      </c>
    </row>
    <row r="1192" spans="1:6">
      <c r="A1192">
        <v>8416</v>
      </c>
      <c r="B1192" t="s">
        <v>516</v>
      </c>
      <c r="C1192">
        <v>93.2</v>
      </c>
      <c r="D1192">
        <f>VLOOKUP(A1192,收盤價!A:C,3,0)</f>
        <v>100</v>
      </c>
      <c r="E1192" s="187">
        <v>7.2961373390557901E-2</v>
      </c>
      <c r="F1192">
        <v>24.79</v>
      </c>
    </row>
    <row r="1193" spans="1:6">
      <c r="A1193">
        <v>9918</v>
      </c>
      <c r="B1193" t="s">
        <v>1411</v>
      </c>
      <c r="C1193">
        <v>28.9</v>
      </c>
      <c r="D1193">
        <f>VLOOKUP(A1193,收盤價!A:C,3,0)</f>
        <v>31</v>
      </c>
      <c r="E1193" s="187">
        <v>7.2664359861591754E-2</v>
      </c>
      <c r="F1193">
        <v>24.73</v>
      </c>
    </row>
    <row r="1194" spans="1:6">
      <c r="A1194">
        <v>5512</v>
      </c>
      <c r="B1194" t="s">
        <v>443</v>
      </c>
      <c r="C1194">
        <v>8.73</v>
      </c>
      <c r="D1194">
        <f>VLOOKUP(A1194,收盤價!A:C,3,0)</f>
        <v>9.36</v>
      </c>
      <c r="E1194" s="187">
        <v>7.216494845360813E-2</v>
      </c>
      <c r="F1194">
        <v>24.67</v>
      </c>
    </row>
    <row r="1195" spans="1:6">
      <c r="A1195">
        <v>1726</v>
      </c>
      <c r="B1195" t="s">
        <v>719</v>
      </c>
      <c r="C1195">
        <v>64.3</v>
      </c>
      <c r="D1195">
        <f>VLOOKUP(A1195,收盤價!A:C,3,0)</f>
        <v>68.900000000000006</v>
      </c>
      <c r="E1195" s="187">
        <v>7.1539657853810404E-2</v>
      </c>
      <c r="F1195">
        <v>24.61</v>
      </c>
    </row>
    <row r="1196" spans="1:6">
      <c r="A1196">
        <v>5488</v>
      </c>
      <c r="B1196" t="s">
        <v>1684</v>
      </c>
      <c r="C1196">
        <v>5.46</v>
      </c>
      <c r="D1196">
        <f>VLOOKUP(A1196,收盤價!A:C,3,0)</f>
        <v>5.85</v>
      </c>
      <c r="E1196" s="187">
        <v>7.1428571428571369E-2</v>
      </c>
      <c r="F1196">
        <v>24.54</v>
      </c>
    </row>
    <row r="1197" spans="1:6">
      <c r="A1197">
        <v>8071</v>
      </c>
      <c r="B1197" t="s">
        <v>505</v>
      </c>
      <c r="C1197">
        <v>11.95</v>
      </c>
      <c r="D1197">
        <f>VLOOKUP(A1197,收盤價!A:C,3,0)</f>
        <v>12.8</v>
      </c>
      <c r="E1197" s="187">
        <v>7.1129707112970841E-2</v>
      </c>
      <c r="F1197">
        <v>24.48</v>
      </c>
    </row>
    <row r="1198" spans="1:6">
      <c r="A1198">
        <v>8931</v>
      </c>
      <c r="B1198" t="s">
        <v>1843</v>
      </c>
      <c r="C1198">
        <v>19</v>
      </c>
      <c r="D1198">
        <f>VLOOKUP(A1198,收盤價!A:C,3,0)</f>
        <v>20.350000000000001</v>
      </c>
      <c r="E1198" s="187">
        <v>7.1052631578947437E-2</v>
      </c>
      <c r="F1198">
        <v>24.42</v>
      </c>
    </row>
    <row r="1199" spans="1:6">
      <c r="A1199">
        <v>1108</v>
      </c>
      <c r="B1199" t="s">
        <v>551</v>
      </c>
      <c r="C1199">
        <v>9.43</v>
      </c>
      <c r="D1199">
        <f>VLOOKUP(A1199,收盤價!A:C,3,0)</f>
        <v>10.1</v>
      </c>
      <c r="E1199" s="187">
        <v>7.104984093319193E-2</v>
      </c>
      <c r="F1199">
        <v>24.35</v>
      </c>
    </row>
    <row r="1200" spans="1:6">
      <c r="A1200">
        <v>9912</v>
      </c>
      <c r="B1200" t="s">
        <v>1408</v>
      </c>
      <c r="C1200">
        <v>8.61</v>
      </c>
      <c r="D1200">
        <f>VLOOKUP(A1200,收盤價!A:C,3,0)</f>
        <v>9.2200000000000006</v>
      </c>
      <c r="E1200" s="187">
        <v>7.0847851335656353E-2</v>
      </c>
      <c r="F1200">
        <v>24.29</v>
      </c>
    </row>
    <row r="1201" spans="1:6">
      <c r="A1201">
        <v>9943</v>
      </c>
      <c r="B1201" t="s">
        <v>1431</v>
      </c>
      <c r="C1201">
        <v>53.7</v>
      </c>
      <c r="D1201">
        <f>VLOOKUP(A1201,收盤價!A:C,3,0)</f>
        <v>57.5</v>
      </c>
      <c r="E1201" s="187">
        <v>7.0763500931098636E-2</v>
      </c>
      <c r="F1201">
        <v>24.23</v>
      </c>
    </row>
    <row r="1202" spans="1:6">
      <c r="A1202">
        <v>2511</v>
      </c>
      <c r="B1202" t="s">
        <v>946</v>
      </c>
      <c r="C1202">
        <v>8.7100000000000009</v>
      </c>
      <c r="D1202">
        <f>VLOOKUP(A1202,收盤價!A:C,3,0)</f>
        <v>9.32</v>
      </c>
      <c r="E1202" s="187">
        <v>7.0034443168771457E-2</v>
      </c>
      <c r="F1202">
        <v>24.16</v>
      </c>
    </row>
    <row r="1203" spans="1:6">
      <c r="A1203">
        <v>2640</v>
      </c>
      <c r="B1203" t="s">
        <v>1459</v>
      </c>
      <c r="C1203">
        <v>64.3</v>
      </c>
      <c r="D1203">
        <f>VLOOKUP(A1203,收盤價!A:C,3,0)</f>
        <v>68.8</v>
      </c>
      <c r="E1203" s="187">
        <v>6.9984447900466568E-2</v>
      </c>
      <c r="F1203">
        <v>24.1</v>
      </c>
    </row>
    <row r="1204" spans="1:6">
      <c r="A1204">
        <v>5533</v>
      </c>
      <c r="B1204" t="s">
        <v>1250</v>
      </c>
      <c r="C1204">
        <v>15.85</v>
      </c>
      <c r="D1204">
        <f>VLOOKUP(A1204,收盤價!A:C,3,0)</f>
        <v>16.95</v>
      </c>
      <c r="E1204" s="187">
        <v>6.9400630914826483E-2</v>
      </c>
      <c r="F1204">
        <v>24.04</v>
      </c>
    </row>
    <row r="1205" spans="1:6">
      <c r="A1205">
        <v>2880</v>
      </c>
      <c r="B1205" t="s">
        <v>1019</v>
      </c>
      <c r="C1205">
        <v>14.5</v>
      </c>
      <c r="D1205">
        <f>VLOOKUP(A1205,收盤價!A:C,3,0)</f>
        <v>15.5</v>
      </c>
      <c r="E1205" s="187">
        <v>6.8965517241379309E-2</v>
      </c>
      <c r="F1205">
        <v>23.97</v>
      </c>
    </row>
    <row r="1206" spans="1:6">
      <c r="A1206">
        <v>1316</v>
      </c>
      <c r="B1206" t="s">
        <v>586</v>
      </c>
      <c r="C1206">
        <v>9.5</v>
      </c>
      <c r="D1206">
        <f>VLOOKUP(A1206,收盤價!A:C,3,0)</f>
        <v>10.15</v>
      </c>
      <c r="E1206" s="187">
        <v>6.842105263157898E-2</v>
      </c>
      <c r="F1206">
        <v>23.91</v>
      </c>
    </row>
    <row r="1207" spans="1:6">
      <c r="A1207">
        <v>8908</v>
      </c>
      <c r="B1207" t="s">
        <v>525</v>
      </c>
      <c r="C1207">
        <v>35.1</v>
      </c>
      <c r="D1207">
        <f>VLOOKUP(A1207,收盤價!A:C,3,0)</f>
        <v>37.450000000000003</v>
      </c>
      <c r="E1207" s="187">
        <v>6.6951566951566996E-2</v>
      </c>
      <c r="F1207">
        <v>23.85</v>
      </c>
    </row>
    <row r="1208" spans="1:6">
      <c r="A1208">
        <v>8083</v>
      </c>
      <c r="B1208" t="s">
        <v>508</v>
      </c>
      <c r="C1208">
        <v>127</v>
      </c>
      <c r="D1208">
        <f>VLOOKUP(A1208,收盤價!A:C,3,0)</f>
        <v>135.5</v>
      </c>
      <c r="E1208" s="187">
        <v>6.6929133858267723E-2</v>
      </c>
      <c r="F1208">
        <v>23.79</v>
      </c>
    </row>
    <row r="1209" spans="1:6">
      <c r="A1209">
        <v>1503</v>
      </c>
      <c r="B1209" t="s">
        <v>647</v>
      </c>
      <c r="C1209">
        <v>37.5</v>
      </c>
      <c r="D1209">
        <f>VLOOKUP(A1209,收盤價!A:C,3,0)</f>
        <v>40</v>
      </c>
      <c r="E1209" s="187">
        <v>6.6666666666666666E-2</v>
      </c>
      <c r="F1209">
        <v>23.72</v>
      </c>
    </row>
    <row r="1210" spans="1:6">
      <c r="A1210">
        <v>6163</v>
      </c>
      <c r="B1210" t="s">
        <v>461</v>
      </c>
      <c r="C1210">
        <v>10.5</v>
      </c>
      <c r="D1210">
        <f>VLOOKUP(A1210,收盤價!A:C,3,0)</f>
        <v>11.2</v>
      </c>
      <c r="E1210" s="187">
        <v>6.6666666666666596E-2</v>
      </c>
      <c r="F1210">
        <v>23.66</v>
      </c>
    </row>
    <row r="1211" spans="1:6">
      <c r="A1211">
        <v>2392</v>
      </c>
      <c r="B1211" t="s">
        <v>859</v>
      </c>
      <c r="C1211">
        <v>42</v>
      </c>
      <c r="D1211">
        <f>VLOOKUP(A1211,收盤價!A:C,3,0)</f>
        <v>44.8</v>
      </c>
      <c r="E1211" s="187">
        <v>6.6666666666666596E-2</v>
      </c>
      <c r="F1211">
        <v>23.6</v>
      </c>
    </row>
    <row r="1212" spans="1:6">
      <c r="A1212">
        <v>5102</v>
      </c>
      <c r="B1212" t="s">
        <v>405</v>
      </c>
      <c r="C1212">
        <v>13.65</v>
      </c>
      <c r="D1212">
        <f>VLOOKUP(A1212,收盤價!A:C,3,0)</f>
        <v>14.55</v>
      </c>
      <c r="E1212" s="187">
        <v>6.5934065934065963E-2</v>
      </c>
      <c r="F1212">
        <v>23.53</v>
      </c>
    </row>
    <row r="1213" spans="1:6">
      <c r="A1213">
        <v>6107</v>
      </c>
      <c r="B1213" t="s">
        <v>1712</v>
      </c>
      <c r="C1213">
        <v>70.400000000000006</v>
      </c>
      <c r="D1213">
        <f>VLOOKUP(A1213,收盤價!A:C,3,0)</f>
        <v>75</v>
      </c>
      <c r="E1213" s="187">
        <v>6.5340909090909005E-2</v>
      </c>
      <c r="F1213">
        <v>23.47</v>
      </c>
    </row>
    <row r="1214" spans="1:6">
      <c r="A1214">
        <v>8424</v>
      </c>
      <c r="B1214" t="s">
        <v>519</v>
      </c>
      <c r="C1214">
        <v>36.15</v>
      </c>
      <c r="D1214">
        <f>VLOOKUP(A1214,收盤價!A:C,3,0)</f>
        <v>38.5</v>
      </c>
      <c r="E1214" s="187">
        <v>6.5006915629322315E-2</v>
      </c>
      <c r="F1214">
        <v>23.41</v>
      </c>
    </row>
    <row r="1215" spans="1:6">
      <c r="A1215">
        <v>1220</v>
      </c>
      <c r="B1215" t="s">
        <v>562</v>
      </c>
      <c r="C1215">
        <v>10</v>
      </c>
      <c r="D1215">
        <f>VLOOKUP(A1215,收盤價!A:C,3,0)</f>
        <v>10.65</v>
      </c>
      <c r="E1215" s="187">
        <v>6.500000000000003E-2</v>
      </c>
      <c r="F1215">
        <v>23.34</v>
      </c>
    </row>
    <row r="1216" spans="1:6">
      <c r="A1216">
        <v>2912</v>
      </c>
      <c r="B1216" t="s">
        <v>1042</v>
      </c>
      <c r="C1216">
        <v>200</v>
      </c>
      <c r="D1216">
        <f>VLOOKUP(A1216,收盤價!A:C,3,0)</f>
        <v>213</v>
      </c>
      <c r="E1216" s="187">
        <v>6.5000000000000002E-2</v>
      </c>
      <c r="F1216">
        <v>23.28</v>
      </c>
    </row>
    <row r="1217" spans="1:6">
      <c r="A1217" t="s">
        <v>260</v>
      </c>
      <c r="B1217" t="s">
        <v>749</v>
      </c>
      <c r="C1217">
        <v>37</v>
      </c>
      <c r="D1217">
        <f>VLOOKUP(A1217,收盤價!A:C,3,0)</f>
        <v>39.4</v>
      </c>
      <c r="E1217" s="187">
        <v>6.4864864864864827E-2</v>
      </c>
      <c r="F1217">
        <v>23.22</v>
      </c>
    </row>
    <row r="1218" spans="1:6">
      <c r="A1218">
        <v>3593</v>
      </c>
      <c r="B1218" t="s">
        <v>1157</v>
      </c>
      <c r="C1218">
        <v>7.3</v>
      </c>
      <c r="D1218">
        <f>VLOOKUP(A1218,收盤價!A:C,3,0)</f>
        <v>7.77</v>
      </c>
      <c r="E1218" s="187">
        <v>6.4383561643835588E-2</v>
      </c>
      <c r="F1218">
        <v>23.15</v>
      </c>
    </row>
    <row r="1219" spans="1:6">
      <c r="A1219">
        <v>4536</v>
      </c>
      <c r="B1219" t="s">
        <v>1196</v>
      </c>
      <c r="C1219">
        <v>116.5</v>
      </c>
      <c r="D1219">
        <f>VLOOKUP(A1219,收盤價!A:C,3,0)</f>
        <v>124</v>
      </c>
      <c r="E1219" s="187">
        <v>6.4377682403433473E-2</v>
      </c>
      <c r="F1219">
        <v>23.09</v>
      </c>
    </row>
    <row r="1220" spans="1:6">
      <c r="A1220">
        <v>2204</v>
      </c>
      <c r="B1220" t="s">
        <v>789</v>
      </c>
      <c r="C1220">
        <v>20.25</v>
      </c>
      <c r="D1220">
        <f>VLOOKUP(A1220,收盤價!A:C,3,0)</f>
        <v>21.55</v>
      </c>
      <c r="E1220" s="187">
        <v>6.4197530864197563E-2</v>
      </c>
      <c r="F1220">
        <v>23.03</v>
      </c>
    </row>
    <row r="1221" spans="1:6">
      <c r="A1221">
        <v>2409</v>
      </c>
      <c r="B1221" t="s">
        <v>870</v>
      </c>
      <c r="C1221">
        <v>8.6</v>
      </c>
      <c r="D1221">
        <f>VLOOKUP(A1221,收盤價!A:C,3,0)</f>
        <v>9.15</v>
      </c>
      <c r="E1221" s="187">
        <v>6.3953488372093109E-2</v>
      </c>
      <c r="F1221">
        <v>22.97</v>
      </c>
    </row>
    <row r="1222" spans="1:6">
      <c r="A1222">
        <v>2530</v>
      </c>
      <c r="B1222" t="s">
        <v>954</v>
      </c>
      <c r="C1222">
        <v>15.75</v>
      </c>
      <c r="D1222">
        <f>VLOOKUP(A1222,收盤價!A:C,3,0)</f>
        <v>16.75</v>
      </c>
      <c r="E1222" s="187">
        <v>6.3492063492063489E-2</v>
      </c>
      <c r="F1222">
        <v>22.9</v>
      </c>
    </row>
    <row r="1223" spans="1:6">
      <c r="A1223">
        <v>5704</v>
      </c>
      <c r="B1223" t="s">
        <v>1700</v>
      </c>
      <c r="C1223">
        <v>25.5</v>
      </c>
      <c r="D1223">
        <f>VLOOKUP(A1223,收盤價!A:C,3,0)</f>
        <v>27.1</v>
      </c>
      <c r="E1223" s="187">
        <v>6.2745098039215741E-2</v>
      </c>
      <c r="F1223">
        <v>22.84</v>
      </c>
    </row>
    <row r="1224" spans="1:6">
      <c r="A1224">
        <v>8016</v>
      </c>
      <c r="B1224" t="s">
        <v>1338</v>
      </c>
      <c r="C1224">
        <v>79.900000000000006</v>
      </c>
      <c r="D1224">
        <f>VLOOKUP(A1224,收盤價!A:C,3,0)</f>
        <v>84.8</v>
      </c>
      <c r="E1224" s="187">
        <v>6.1326658322903516E-2</v>
      </c>
      <c r="F1224">
        <v>22.78</v>
      </c>
    </row>
    <row r="1225" spans="1:6">
      <c r="A1225">
        <v>2883</v>
      </c>
      <c r="B1225" t="s">
        <v>1022</v>
      </c>
      <c r="C1225">
        <v>8.16</v>
      </c>
      <c r="D1225">
        <f>VLOOKUP(A1225,收盤價!A:C,3,0)</f>
        <v>8.66</v>
      </c>
      <c r="E1225" s="187">
        <v>6.1274509803921566E-2</v>
      </c>
      <c r="F1225">
        <v>22.71</v>
      </c>
    </row>
    <row r="1226" spans="1:6">
      <c r="A1226">
        <v>6146</v>
      </c>
      <c r="B1226" t="s">
        <v>457</v>
      </c>
      <c r="C1226">
        <v>180</v>
      </c>
      <c r="D1226">
        <f>VLOOKUP(A1226,收盤價!A:C,3,0)</f>
        <v>191</v>
      </c>
      <c r="E1226" s="187">
        <v>6.1111111111111109E-2</v>
      </c>
      <c r="F1226">
        <v>22.65</v>
      </c>
    </row>
    <row r="1227" spans="1:6">
      <c r="A1227">
        <v>2486</v>
      </c>
      <c r="B1227" t="s">
        <v>930</v>
      </c>
      <c r="C1227">
        <v>9.9</v>
      </c>
      <c r="D1227">
        <f>VLOOKUP(A1227,收盤價!A:C,3,0)</f>
        <v>10.5</v>
      </c>
      <c r="E1227" s="187">
        <v>6.0606060606060566E-2</v>
      </c>
      <c r="F1227">
        <v>22.59</v>
      </c>
    </row>
    <row r="1228" spans="1:6">
      <c r="A1228">
        <v>3512</v>
      </c>
      <c r="B1228" t="s">
        <v>1528</v>
      </c>
      <c r="C1228">
        <v>28.95</v>
      </c>
      <c r="D1228">
        <f>VLOOKUP(A1228,收盤價!A:C,3,0)</f>
        <v>30.7</v>
      </c>
      <c r="E1228" s="187">
        <v>6.0449050086355788E-2</v>
      </c>
      <c r="F1228">
        <v>22.52</v>
      </c>
    </row>
    <row r="1229" spans="1:6">
      <c r="A1229">
        <v>911868</v>
      </c>
      <c r="B1229" t="s">
        <v>1392</v>
      </c>
      <c r="C1229">
        <v>2.33</v>
      </c>
      <c r="D1229">
        <f>VLOOKUP(A1229,收盤價!A:C,3,0)</f>
        <v>2.4700000000000002</v>
      </c>
      <c r="E1229" s="187">
        <v>6.0085836909871293E-2</v>
      </c>
      <c r="F1229">
        <v>22.46</v>
      </c>
    </row>
    <row r="1230" spans="1:6">
      <c r="A1230">
        <v>2641</v>
      </c>
      <c r="B1230" t="s">
        <v>1460</v>
      </c>
      <c r="C1230">
        <v>8.49</v>
      </c>
      <c r="D1230">
        <f>VLOOKUP(A1230,收盤價!A:C,3,0)</f>
        <v>9</v>
      </c>
      <c r="E1230" s="187">
        <v>6.0070671378091849E-2</v>
      </c>
      <c r="F1230">
        <v>22.4</v>
      </c>
    </row>
    <row r="1231" spans="1:6">
      <c r="A1231">
        <v>3663</v>
      </c>
      <c r="B1231" t="s">
        <v>1554</v>
      </c>
      <c r="C1231">
        <v>15</v>
      </c>
      <c r="D1231">
        <f>VLOOKUP(A1231,收盤價!A:C,3,0)</f>
        <v>15.9</v>
      </c>
      <c r="E1231" s="187">
        <v>6.0000000000000026E-2</v>
      </c>
      <c r="F1231">
        <v>22.33</v>
      </c>
    </row>
    <row r="1232" spans="1:6">
      <c r="A1232">
        <v>2032</v>
      </c>
      <c r="B1232" t="s">
        <v>770</v>
      </c>
      <c r="C1232">
        <v>7.69</v>
      </c>
      <c r="D1232">
        <f>VLOOKUP(A1232,收盤價!A:C,3,0)</f>
        <v>8.15</v>
      </c>
      <c r="E1232" s="187">
        <v>5.9817945383615075E-2</v>
      </c>
      <c r="F1232">
        <v>22.27</v>
      </c>
    </row>
    <row r="1233" spans="1:6">
      <c r="A1233">
        <v>2881</v>
      </c>
      <c r="B1233" t="s">
        <v>1020</v>
      </c>
      <c r="C1233">
        <v>50.3</v>
      </c>
      <c r="D1233">
        <f>VLOOKUP(A1233,收盤價!A:C,3,0)</f>
        <v>53.3</v>
      </c>
      <c r="E1233" s="187">
        <v>5.9642147117296228E-2</v>
      </c>
      <c r="F1233">
        <v>22.21</v>
      </c>
    </row>
    <row r="1234" spans="1:6">
      <c r="A1234">
        <v>2617</v>
      </c>
      <c r="B1234" t="s">
        <v>983</v>
      </c>
      <c r="C1234">
        <v>11.8</v>
      </c>
      <c r="D1234">
        <f>VLOOKUP(A1234,收盤價!A:C,3,0)</f>
        <v>12.5</v>
      </c>
      <c r="E1234" s="187">
        <v>5.9322033898305024E-2</v>
      </c>
      <c r="F1234">
        <v>22.15</v>
      </c>
    </row>
    <row r="1235" spans="1:6">
      <c r="A1235">
        <v>2433</v>
      </c>
      <c r="B1235" t="s">
        <v>888</v>
      </c>
      <c r="C1235">
        <v>41.95</v>
      </c>
      <c r="D1235">
        <f>VLOOKUP(A1235,收盤價!A:C,3,0)</f>
        <v>44.4</v>
      </c>
      <c r="E1235" s="187">
        <v>5.8402860548271644E-2</v>
      </c>
      <c r="F1235">
        <v>22.08</v>
      </c>
    </row>
    <row r="1236" spans="1:6">
      <c r="A1236">
        <v>1591</v>
      </c>
      <c r="B1236" t="s">
        <v>1445</v>
      </c>
      <c r="C1236">
        <v>24</v>
      </c>
      <c r="D1236">
        <f>VLOOKUP(A1236,收盤價!A:C,3,0)</f>
        <v>25.4</v>
      </c>
      <c r="E1236" s="187">
        <v>5.8333333333333272E-2</v>
      </c>
      <c r="F1236">
        <v>22.02</v>
      </c>
    </row>
    <row r="1237" spans="1:6">
      <c r="A1237">
        <v>911613</v>
      </c>
      <c r="B1237" t="s">
        <v>1850</v>
      </c>
      <c r="C1237">
        <v>7.06</v>
      </c>
      <c r="D1237">
        <f>VLOOKUP(A1237,收盤價!A:C,3,0)</f>
        <v>7.47</v>
      </c>
      <c r="E1237" s="187">
        <v>5.807365439093487E-2</v>
      </c>
      <c r="F1237">
        <v>21.96</v>
      </c>
    </row>
    <row r="1238" spans="1:6">
      <c r="A1238">
        <v>6803</v>
      </c>
      <c r="B1238" t="s">
        <v>1777</v>
      </c>
      <c r="C1238">
        <v>156</v>
      </c>
      <c r="D1238">
        <f>VLOOKUP(A1238,收盤價!A:C,3,0)</f>
        <v>165</v>
      </c>
      <c r="E1238" s="187">
        <v>5.7692307692307696E-2</v>
      </c>
      <c r="F1238">
        <v>21.89</v>
      </c>
    </row>
    <row r="1239" spans="1:6">
      <c r="A1239">
        <v>5209</v>
      </c>
      <c r="B1239" t="s">
        <v>1644</v>
      </c>
      <c r="C1239">
        <v>39.9</v>
      </c>
      <c r="D1239">
        <f>VLOOKUP(A1239,收盤價!A:C,3,0)</f>
        <v>42.2</v>
      </c>
      <c r="E1239" s="187">
        <v>5.7644110275689331E-2</v>
      </c>
      <c r="F1239">
        <v>21.83</v>
      </c>
    </row>
    <row r="1240" spans="1:6">
      <c r="A1240">
        <v>2468</v>
      </c>
      <c r="B1240" t="s">
        <v>917</v>
      </c>
      <c r="C1240">
        <v>9.98</v>
      </c>
      <c r="D1240">
        <f>VLOOKUP(A1240,收盤價!A:C,3,0)</f>
        <v>10.55</v>
      </c>
      <c r="E1240" s="187">
        <v>5.7114228456913857E-2</v>
      </c>
      <c r="F1240">
        <v>21.77</v>
      </c>
    </row>
    <row r="1241" spans="1:6">
      <c r="A1241">
        <v>9962</v>
      </c>
      <c r="B1241" t="s">
        <v>1853</v>
      </c>
      <c r="C1241">
        <v>7.1</v>
      </c>
      <c r="D1241">
        <f>VLOOKUP(A1241,收盤價!A:C,3,0)</f>
        <v>7.5</v>
      </c>
      <c r="E1241" s="187">
        <v>5.6338028169014134E-2</v>
      </c>
      <c r="F1241">
        <v>21.7</v>
      </c>
    </row>
    <row r="1242" spans="1:6">
      <c r="A1242">
        <v>2732</v>
      </c>
      <c r="B1242" t="s">
        <v>1464</v>
      </c>
      <c r="C1242">
        <v>83.9</v>
      </c>
      <c r="D1242">
        <f>VLOOKUP(A1242,收盤價!A:C,3,0)</f>
        <v>88.6</v>
      </c>
      <c r="E1242" s="187">
        <v>5.601907032181154E-2</v>
      </c>
      <c r="F1242">
        <v>21.64</v>
      </c>
    </row>
    <row r="1243" spans="1:6">
      <c r="A1243">
        <v>1325</v>
      </c>
      <c r="B1243" t="s">
        <v>591</v>
      </c>
      <c r="C1243">
        <v>19.649999999999999</v>
      </c>
      <c r="D1243">
        <f>VLOOKUP(A1243,收盤價!A:C,3,0)</f>
        <v>20.75</v>
      </c>
      <c r="E1243" s="187">
        <v>5.5979643765903385E-2</v>
      </c>
      <c r="F1243">
        <v>21.58</v>
      </c>
    </row>
    <row r="1244" spans="1:6">
      <c r="A1244">
        <v>3669</v>
      </c>
      <c r="B1244" t="s">
        <v>1168</v>
      </c>
      <c r="C1244">
        <v>13.4</v>
      </c>
      <c r="D1244">
        <f>VLOOKUP(A1244,收盤價!A:C,3,0)</f>
        <v>14.15</v>
      </c>
      <c r="E1244" s="187">
        <v>5.5970149253731345E-2</v>
      </c>
      <c r="F1244">
        <v>21.51</v>
      </c>
    </row>
    <row r="1245" spans="1:6">
      <c r="A1245">
        <v>2838</v>
      </c>
      <c r="B1245" t="s">
        <v>1008</v>
      </c>
      <c r="C1245">
        <v>9.02</v>
      </c>
      <c r="D1245">
        <f>VLOOKUP(A1245,收盤價!A:C,3,0)</f>
        <v>9.52</v>
      </c>
      <c r="E1245" s="187">
        <v>5.543237250554324E-2</v>
      </c>
      <c r="F1245">
        <v>21.45</v>
      </c>
    </row>
    <row r="1246" spans="1:6">
      <c r="A1246">
        <v>1235</v>
      </c>
      <c r="B1246" t="s">
        <v>570</v>
      </c>
      <c r="C1246">
        <v>17.149999999999999</v>
      </c>
      <c r="D1246">
        <f>VLOOKUP(A1246,收盤價!A:C,3,0)</f>
        <v>18.100000000000001</v>
      </c>
      <c r="E1246" s="187">
        <v>5.5393586005831073E-2</v>
      </c>
      <c r="F1246">
        <v>21.39</v>
      </c>
    </row>
    <row r="1247" spans="1:6">
      <c r="A1247">
        <v>2926</v>
      </c>
      <c r="B1247" t="s">
        <v>1467</v>
      </c>
      <c r="C1247">
        <v>147</v>
      </c>
      <c r="D1247">
        <f>VLOOKUP(A1247,收盤價!A:C,3,0)</f>
        <v>155</v>
      </c>
      <c r="E1247" s="187">
        <v>5.4421768707482991E-2</v>
      </c>
      <c r="F1247">
        <v>21.32</v>
      </c>
    </row>
    <row r="1248" spans="1:6">
      <c r="A1248">
        <v>8079</v>
      </c>
      <c r="B1248" t="s">
        <v>1797</v>
      </c>
      <c r="C1248">
        <v>11.95</v>
      </c>
      <c r="D1248">
        <f>VLOOKUP(A1248,收盤價!A:C,3,0)</f>
        <v>12.6</v>
      </c>
      <c r="E1248" s="187">
        <v>5.4393305439330575E-2</v>
      </c>
      <c r="F1248">
        <v>21.26</v>
      </c>
    </row>
    <row r="1249" spans="1:6">
      <c r="A1249">
        <v>5285</v>
      </c>
      <c r="B1249" t="s">
        <v>1236</v>
      </c>
      <c r="C1249">
        <v>29.8</v>
      </c>
      <c r="D1249">
        <f>VLOOKUP(A1249,收盤價!A:C,3,0)</f>
        <v>31.4</v>
      </c>
      <c r="E1249" s="187">
        <v>5.3691275167785164E-2</v>
      </c>
      <c r="F1249">
        <v>21.2</v>
      </c>
    </row>
    <row r="1250" spans="1:6">
      <c r="A1250">
        <v>2516</v>
      </c>
      <c r="B1250" t="s">
        <v>949</v>
      </c>
      <c r="C1250">
        <v>6.21</v>
      </c>
      <c r="D1250">
        <f>VLOOKUP(A1250,收盤價!A:C,3,0)</f>
        <v>6.54</v>
      </c>
      <c r="E1250" s="187">
        <v>5.3140096618357502E-2</v>
      </c>
      <c r="F1250">
        <v>21.14</v>
      </c>
    </row>
    <row r="1251" spans="1:6">
      <c r="A1251">
        <v>2373</v>
      </c>
      <c r="B1251" t="s">
        <v>846</v>
      </c>
      <c r="C1251">
        <v>49.3</v>
      </c>
      <c r="D1251">
        <f>VLOOKUP(A1251,收盤價!A:C,3,0)</f>
        <v>51.9</v>
      </c>
      <c r="E1251" s="187">
        <v>5.2738336713995977E-2</v>
      </c>
      <c r="F1251">
        <v>21.07</v>
      </c>
    </row>
    <row r="1252" spans="1:6">
      <c r="A1252">
        <v>2729</v>
      </c>
      <c r="B1252" t="s">
        <v>1463</v>
      </c>
      <c r="C1252">
        <v>219</v>
      </c>
      <c r="D1252">
        <f>VLOOKUP(A1252,收盤價!A:C,3,0)</f>
        <v>230.5</v>
      </c>
      <c r="E1252" s="187">
        <v>5.2511415525114152E-2</v>
      </c>
      <c r="F1252">
        <v>21.01</v>
      </c>
    </row>
    <row r="1253" spans="1:6">
      <c r="A1253">
        <v>2010</v>
      </c>
      <c r="B1253" t="s">
        <v>754</v>
      </c>
      <c r="C1253">
        <v>8.6</v>
      </c>
      <c r="D1253">
        <f>VLOOKUP(A1253,收盤價!A:C,3,0)</f>
        <v>9.0500000000000007</v>
      </c>
      <c r="E1253" s="187">
        <v>5.2325581395348965E-2</v>
      </c>
      <c r="F1253">
        <v>20.95</v>
      </c>
    </row>
    <row r="1254" spans="1:6">
      <c r="A1254">
        <v>9904</v>
      </c>
      <c r="B1254" t="s">
        <v>1401</v>
      </c>
      <c r="C1254">
        <v>44.15</v>
      </c>
      <c r="D1254">
        <f>VLOOKUP(A1254,收盤價!A:C,3,0)</f>
        <v>46.45</v>
      </c>
      <c r="E1254" s="187">
        <v>5.2095130237825693E-2</v>
      </c>
      <c r="F1254">
        <v>20.88</v>
      </c>
    </row>
    <row r="1255" spans="1:6">
      <c r="A1255">
        <v>5904</v>
      </c>
      <c r="B1255" t="s">
        <v>450</v>
      </c>
      <c r="C1255">
        <v>318</v>
      </c>
      <c r="D1255">
        <f>VLOOKUP(A1255,收盤價!A:C,3,0)</f>
        <v>334.5</v>
      </c>
      <c r="E1255" s="187">
        <v>5.1886792452830191E-2</v>
      </c>
      <c r="F1255">
        <v>20.82</v>
      </c>
    </row>
    <row r="1256" spans="1:6">
      <c r="A1256">
        <v>8034</v>
      </c>
      <c r="B1256" t="s">
        <v>1780</v>
      </c>
      <c r="C1256">
        <v>5.66</v>
      </c>
      <c r="D1256">
        <f>VLOOKUP(A1256,收盤價!A:C,3,0)</f>
        <v>5.95</v>
      </c>
      <c r="E1256" s="187">
        <v>5.1236749116607777E-2</v>
      </c>
      <c r="F1256">
        <v>20.76</v>
      </c>
    </row>
    <row r="1257" spans="1:6">
      <c r="A1257">
        <v>2230</v>
      </c>
      <c r="B1257" t="s">
        <v>278</v>
      </c>
      <c r="C1257">
        <v>13.7</v>
      </c>
      <c r="D1257">
        <f>VLOOKUP(A1257,收盤價!A:C,3,0)</f>
        <v>14.4</v>
      </c>
      <c r="E1257" s="187">
        <v>5.1094890510948988E-2</v>
      </c>
      <c r="F1257">
        <v>20.69</v>
      </c>
    </row>
    <row r="1258" spans="1:6">
      <c r="A1258">
        <v>2904</v>
      </c>
      <c r="B1258" t="s">
        <v>1036</v>
      </c>
      <c r="C1258">
        <v>24.5</v>
      </c>
      <c r="D1258">
        <f>VLOOKUP(A1258,收盤價!A:C,3,0)</f>
        <v>25.75</v>
      </c>
      <c r="E1258" s="187">
        <v>5.1020408163265307E-2</v>
      </c>
      <c r="F1258">
        <v>20.63</v>
      </c>
    </row>
    <row r="1259" spans="1:6">
      <c r="A1259">
        <v>5703</v>
      </c>
      <c r="B1259" t="s">
        <v>1699</v>
      </c>
      <c r="C1259">
        <v>20.75</v>
      </c>
      <c r="D1259">
        <f>VLOOKUP(A1259,收盤價!A:C,3,0)</f>
        <v>21.8</v>
      </c>
      <c r="E1259" s="187">
        <v>5.0602409638554252E-2</v>
      </c>
      <c r="F1259">
        <v>20.57</v>
      </c>
    </row>
    <row r="1260" spans="1:6">
      <c r="A1260">
        <v>1604</v>
      </c>
      <c r="B1260" t="s">
        <v>686</v>
      </c>
      <c r="C1260">
        <v>11.9</v>
      </c>
      <c r="D1260">
        <f>VLOOKUP(A1260,收盤價!A:C,3,0)</f>
        <v>12.5</v>
      </c>
      <c r="E1260" s="187">
        <v>5.0420168067226857E-2</v>
      </c>
      <c r="F1260">
        <v>20.5</v>
      </c>
    </row>
    <row r="1261" spans="1:6">
      <c r="A1261">
        <v>1531</v>
      </c>
      <c r="B1261" t="s">
        <v>667</v>
      </c>
      <c r="C1261">
        <v>16</v>
      </c>
      <c r="D1261">
        <f>VLOOKUP(A1261,收盤價!A:C,3,0)</f>
        <v>16.8</v>
      </c>
      <c r="E1261" s="187">
        <v>5.0000000000000044E-2</v>
      </c>
      <c r="F1261">
        <v>20.440000000000001</v>
      </c>
    </row>
    <row r="1262" spans="1:6">
      <c r="A1262">
        <v>5355</v>
      </c>
      <c r="B1262" t="s">
        <v>425</v>
      </c>
      <c r="C1262">
        <v>6.4</v>
      </c>
      <c r="D1262">
        <f>VLOOKUP(A1262,收盤價!A:C,3,0)</f>
        <v>6.72</v>
      </c>
      <c r="E1262" s="187">
        <v>4.9999999999999906E-2</v>
      </c>
      <c r="F1262">
        <v>20.38</v>
      </c>
    </row>
    <row r="1263" spans="1:6">
      <c r="A1263">
        <v>3066</v>
      </c>
      <c r="B1263" t="s">
        <v>1469</v>
      </c>
      <c r="C1263">
        <v>7.43</v>
      </c>
      <c r="D1263">
        <f>VLOOKUP(A1263,收盤價!A:C,3,0)</f>
        <v>7.8</v>
      </c>
      <c r="E1263" s="187">
        <v>4.9798115746971752E-2</v>
      </c>
      <c r="F1263">
        <v>20.32</v>
      </c>
    </row>
    <row r="1264" spans="1:6">
      <c r="A1264">
        <v>3046</v>
      </c>
      <c r="B1264" t="s">
        <v>1085</v>
      </c>
      <c r="C1264">
        <v>9.82</v>
      </c>
      <c r="D1264">
        <f>VLOOKUP(A1264,收盤價!A:C,3,0)</f>
        <v>10.3</v>
      </c>
      <c r="E1264" s="187">
        <v>4.8879837067209816E-2</v>
      </c>
      <c r="F1264">
        <v>20.25</v>
      </c>
    </row>
    <row r="1265" spans="1:6">
      <c r="A1265">
        <v>5515</v>
      </c>
      <c r="B1265" t="s">
        <v>1244</v>
      </c>
      <c r="C1265">
        <v>8.4</v>
      </c>
      <c r="D1265">
        <f>VLOOKUP(A1265,收盤價!A:C,3,0)</f>
        <v>8.81</v>
      </c>
      <c r="E1265" s="187">
        <v>4.8809523809523823E-2</v>
      </c>
      <c r="F1265">
        <v>20.190000000000001</v>
      </c>
    </row>
    <row r="1266" spans="1:6">
      <c r="A1266">
        <v>2888</v>
      </c>
      <c r="B1266" t="s">
        <v>1027</v>
      </c>
      <c r="C1266">
        <v>7</v>
      </c>
      <c r="D1266">
        <f>VLOOKUP(A1266,收盤價!A:C,3,0)</f>
        <v>7.34</v>
      </c>
      <c r="E1266" s="187">
        <v>4.857142857142855E-2</v>
      </c>
      <c r="F1266">
        <v>20.13</v>
      </c>
    </row>
    <row r="1267" spans="1:6">
      <c r="A1267">
        <v>1436</v>
      </c>
      <c r="B1267" t="s">
        <v>610</v>
      </c>
      <c r="C1267">
        <v>39.200000000000003</v>
      </c>
      <c r="D1267">
        <f>VLOOKUP(A1267,收盤價!A:C,3,0)</f>
        <v>41.1</v>
      </c>
      <c r="E1267" s="187">
        <v>4.8469387755102004E-2</v>
      </c>
      <c r="F1267">
        <v>20.059999999999999</v>
      </c>
    </row>
    <row r="1268" spans="1:6">
      <c r="A1268">
        <v>2063</v>
      </c>
      <c r="B1268" t="s">
        <v>275</v>
      </c>
      <c r="C1268">
        <v>22.8</v>
      </c>
      <c r="D1268">
        <f>VLOOKUP(A1268,收盤價!A:C,3,0)</f>
        <v>23.9</v>
      </c>
      <c r="E1268" s="187">
        <v>4.8245614035087626E-2</v>
      </c>
      <c r="F1268">
        <v>20</v>
      </c>
    </row>
    <row r="1269" spans="1:6">
      <c r="A1269">
        <v>5905</v>
      </c>
      <c r="B1269" t="s">
        <v>1703</v>
      </c>
      <c r="C1269">
        <v>8.73</v>
      </c>
      <c r="D1269">
        <f>VLOOKUP(A1269,收盤價!A:C,3,0)</f>
        <v>9.15</v>
      </c>
      <c r="E1269" s="187">
        <v>4.810996563573882E-2</v>
      </c>
      <c r="F1269">
        <v>19.940000000000001</v>
      </c>
    </row>
    <row r="1270" spans="1:6">
      <c r="A1270">
        <v>2317</v>
      </c>
      <c r="B1270" t="s">
        <v>807</v>
      </c>
      <c r="C1270">
        <v>81.599999999999994</v>
      </c>
      <c r="D1270">
        <f>VLOOKUP(A1270,收盤價!A:C,3,0)</f>
        <v>85.5</v>
      </c>
      <c r="E1270" s="187">
        <v>4.7794117647058897E-2</v>
      </c>
      <c r="F1270">
        <v>19.87</v>
      </c>
    </row>
    <row r="1271" spans="1:6">
      <c r="A1271">
        <v>2006</v>
      </c>
      <c r="B1271" t="s">
        <v>750</v>
      </c>
      <c r="C1271">
        <v>16.8</v>
      </c>
      <c r="D1271">
        <f>VLOOKUP(A1271,收盤價!A:C,3,0)</f>
        <v>17.600000000000001</v>
      </c>
      <c r="E1271" s="187">
        <v>4.7619047619047658E-2</v>
      </c>
      <c r="F1271">
        <v>19.809999999999999</v>
      </c>
    </row>
    <row r="1272" spans="1:6">
      <c r="A1272">
        <v>8103</v>
      </c>
      <c r="B1272" t="s">
        <v>1347</v>
      </c>
      <c r="C1272">
        <v>24</v>
      </c>
      <c r="D1272">
        <f>VLOOKUP(A1272,收盤價!A:C,3,0)</f>
        <v>25.1</v>
      </c>
      <c r="E1272" s="187">
        <v>4.5833333333333393E-2</v>
      </c>
      <c r="F1272">
        <v>19.75</v>
      </c>
    </row>
    <row r="1273" spans="1:6">
      <c r="A1273">
        <v>2820</v>
      </c>
      <c r="B1273" t="s">
        <v>1003</v>
      </c>
      <c r="C1273">
        <v>10.95</v>
      </c>
      <c r="D1273">
        <f>VLOOKUP(A1273,收盤價!A:C,3,0)</f>
        <v>11.45</v>
      </c>
      <c r="E1273" s="187">
        <v>4.5662100456621009E-2</v>
      </c>
      <c r="F1273">
        <v>19.68</v>
      </c>
    </row>
    <row r="1274" spans="1:6">
      <c r="A1274">
        <v>2816</v>
      </c>
      <c r="B1274" t="s">
        <v>1002</v>
      </c>
      <c r="C1274">
        <v>15.4</v>
      </c>
      <c r="D1274">
        <f>VLOOKUP(A1274,收盤價!A:C,3,0)</f>
        <v>16.100000000000001</v>
      </c>
      <c r="E1274" s="187">
        <v>4.5454545454545525E-2</v>
      </c>
      <c r="F1274">
        <v>19.62</v>
      </c>
    </row>
    <row r="1275" spans="1:6">
      <c r="A1275">
        <v>6179</v>
      </c>
      <c r="B1275" t="s">
        <v>465</v>
      </c>
      <c r="C1275">
        <v>36.35</v>
      </c>
      <c r="D1275">
        <f>VLOOKUP(A1275,收盤價!A:C,3,0)</f>
        <v>38</v>
      </c>
      <c r="E1275" s="187">
        <v>4.5392022008253055E-2</v>
      </c>
      <c r="F1275">
        <v>19.559999999999999</v>
      </c>
    </row>
    <row r="1276" spans="1:6">
      <c r="A1276">
        <v>2412</v>
      </c>
      <c r="B1276" t="s">
        <v>871</v>
      </c>
      <c r="C1276">
        <v>95.1</v>
      </c>
      <c r="D1276">
        <f>VLOOKUP(A1276,收盤價!A:C,3,0)</f>
        <v>99.4</v>
      </c>
      <c r="E1276" s="187">
        <v>4.5215562565720416E-2</v>
      </c>
      <c r="F1276">
        <v>19.5</v>
      </c>
    </row>
    <row r="1277" spans="1:6">
      <c r="A1277">
        <v>1236</v>
      </c>
      <c r="B1277" t="s">
        <v>571</v>
      </c>
      <c r="C1277">
        <v>20</v>
      </c>
      <c r="D1277">
        <f>VLOOKUP(A1277,收盤價!A:C,3,0)</f>
        <v>20.9</v>
      </c>
      <c r="E1277" s="187">
        <v>4.4999999999999929E-2</v>
      </c>
      <c r="F1277">
        <v>19.43</v>
      </c>
    </row>
    <row r="1278" spans="1:6">
      <c r="A1278">
        <v>2890</v>
      </c>
      <c r="B1278" t="s">
        <v>1029</v>
      </c>
      <c r="C1278">
        <v>9.67</v>
      </c>
      <c r="D1278">
        <f>VLOOKUP(A1278,收盤價!A:C,3,0)</f>
        <v>10.1</v>
      </c>
      <c r="E1278" s="187">
        <v>4.4467425025853123E-2</v>
      </c>
      <c r="F1278">
        <v>19.37</v>
      </c>
    </row>
    <row r="1279" spans="1:6">
      <c r="A1279">
        <v>1201</v>
      </c>
      <c r="B1279" t="s">
        <v>553</v>
      </c>
      <c r="C1279">
        <v>18.2</v>
      </c>
      <c r="D1279">
        <f>VLOOKUP(A1279,收盤價!A:C,3,0)</f>
        <v>19</v>
      </c>
      <c r="E1279" s="187">
        <v>4.3956043956043994E-2</v>
      </c>
      <c r="F1279">
        <v>19.309999999999999</v>
      </c>
    </row>
    <row r="1280" spans="1:6">
      <c r="A1280">
        <v>6120</v>
      </c>
      <c r="B1280" t="s">
        <v>1266</v>
      </c>
      <c r="C1280">
        <v>10.45</v>
      </c>
      <c r="D1280">
        <f>VLOOKUP(A1280,收盤價!A:C,3,0)</f>
        <v>10.9</v>
      </c>
      <c r="E1280" s="187">
        <v>4.3062200956937906E-2</v>
      </c>
      <c r="F1280">
        <v>19.239999999999998</v>
      </c>
    </row>
    <row r="1281" spans="1:6">
      <c r="A1281">
        <v>8053</v>
      </c>
      <c r="B1281" t="s">
        <v>1789</v>
      </c>
      <c r="C1281">
        <v>1.63</v>
      </c>
      <c r="D1281">
        <f>VLOOKUP(A1281,收盤價!A:C,3,0)</f>
        <v>1.7</v>
      </c>
      <c r="E1281" s="187">
        <v>4.2944785276073663E-2</v>
      </c>
      <c r="F1281">
        <v>19.18</v>
      </c>
    </row>
    <row r="1282" spans="1:6">
      <c r="A1282">
        <v>8032</v>
      </c>
      <c r="B1282" t="s">
        <v>1779</v>
      </c>
      <c r="C1282">
        <v>27.25</v>
      </c>
      <c r="D1282">
        <f>VLOOKUP(A1282,收盤價!A:C,3,0)</f>
        <v>28.4</v>
      </c>
      <c r="E1282" s="187">
        <v>4.2201834862385268E-2</v>
      </c>
      <c r="F1282">
        <v>19.12</v>
      </c>
    </row>
    <row r="1283" spans="1:6">
      <c r="A1283">
        <v>3073</v>
      </c>
      <c r="B1283" t="s">
        <v>1471</v>
      </c>
      <c r="C1283">
        <v>5.69</v>
      </c>
      <c r="D1283">
        <f>VLOOKUP(A1283,收盤價!A:C,3,0)</f>
        <v>5.93</v>
      </c>
      <c r="E1283" s="187">
        <v>4.2179261862917275E-2</v>
      </c>
      <c r="F1283">
        <v>19.05</v>
      </c>
    </row>
    <row r="1284" spans="1:6">
      <c r="A1284">
        <v>5213</v>
      </c>
      <c r="B1284" t="s">
        <v>1646</v>
      </c>
      <c r="C1284">
        <v>14.5</v>
      </c>
      <c r="D1284">
        <f>VLOOKUP(A1284,收盤價!A:C,3,0)</f>
        <v>15.1</v>
      </c>
      <c r="E1284" s="187">
        <v>4.1379310344827565E-2</v>
      </c>
      <c r="F1284">
        <v>18.989999999999998</v>
      </c>
    </row>
    <row r="1285" spans="1:6">
      <c r="A1285">
        <v>2027</v>
      </c>
      <c r="B1285" t="s">
        <v>765</v>
      </c>
      <c r="C1285">
        <v>13.6</v>
      </c>
      <c r="D1285">
        <f>VLOOKUP(A1285,收盤價!A:C,3,0)</f>
        <v>14.15</v>
      </c>
      <c r="E1285" s="187">
        <v>4.0441176470588286E-2</v>
      </c>
      <c r="F1285">
        <v>18.93</v>
      </c>
    </row>
    <row r="1286" spans="1:6">
      <c r="A1286">
        <v>3266</v>
      </c>
      <c r="B1286" t="s">
        <v>1111</v>
      </c>
      <c r="C1286">
        <v>12.55</v>
      </c>
      <c r="D1286">
        <f>VLOOKUP(A1286,收盤價!A:C,3,0)</f>
        <v>13.05</v>
      </c>
      <c r="E1286" s="187">
        <v>3.9840637450199202E-2</v>
      </c>
      <c r="F1286">
        <v>18.86</v>
      </c>
    </row>
    <row r="1287" spans="1:6">
      <c r="A1287">
        <v>9929</v>
      </c>
      <c r="B1287" t="s">
        <v>1419</v>
      </c>
      <c r="C1287">
        <v>12.6</v>
      </c>
      <c r="D1287">
        <f>VLOOKUP(A1287,收盤價!A:C,3,0)</f>
        <v>13.1</v>
      </c>
      <c r="E1287" s="187">
        <v>3.968253968253968E-2</v>
      </c>
      <c r="F1287">
        <v>18.8</v>
      </c>
    </row>
    <row r="1288" spans="1:6">
      <c r="A1288">
        <v>3518</v>
      </c>
      <c r="B1288" t="s">
        <v>1139</v>
      </c>
      <c r="C1288">
        <v>33.200000000000003</v>
      </c>
      <c r="D1288">
        <f>VLOOKUP(A1288,收盤價!A:C,3,0)</f>
        <v>34.5</v>
      </c>
      <c r="E1288" s="187">
        <v>3.9156626506024007E-2</v>
      </c>
      <c r="F1288">
        <v>18.739999999999998</v>
      </c>
    </row>
    <row r="1289" spans="1:6">
      <c r="A1289">
        <v>9940</v>
      </c>
      <c r="B1289" t="s">
        <v>1428</v>
      </c>
      <c r="C1289">
        <v>26.9</v>
      </c>
      <c r="D1289">
        <f>VLOOKUP(A1289,收盤價!A:C,3,0)</f>
        <v>27.95</v>
      </c>
      <c r="E1289" s="187">
        <v>3.903345724907066E-2</v>
      </c>
      <c r="F1289">
        <v>18.68</v>
      </c>
    </row>
    <row r="1290" spans="1:6">
      <c r="A1290">
        <v>2022</v>
      </c>
      <c r="B1290" t="s">
        <v>761</v>
      </c>
      <c r="C1290">
        <v>3.59</v>
      </c>
      <c r="D1290">
        <f>VLOOKUP(A1290,收盤價!A:C,3,0)</f>
        <v>3.73</v>
      </c>
      <c r="E1290" s="187">
        <v>3.8997214484679701E-2</v>
      </c>
      <c r="F1290">
        <v>18.61</v>
      </c>
    </row>
    <row r="1291" spans="1:6">
      <c r="A1291">
        <v>9921</v>
      </c>
      <c r="B1291" t="s">
        <v>1413</v>
      </c>
      <c r="C1291">
        <v>218.5</v>
      </c>
      <c r="D1291">
        <f>VLOOKUP(A1291,收盤價!A:C,3,0)</f>
        <v>227</v>
      </c>
      <c r="E1291" s="187">
        <v>3.8901601830663615E-2</v>
      </c>
      <c r="F1291">
        <v>18.55</v>
      </c>
    </row>
    <row r="1292" spans="1:6">
      <c r="A1292">
        <v>2002</v>
      </c>
      <c r="B1292" t="s">
        <v>748</v>
      </c>
      <c r="C1292">
        <v>18</v>
      </c>
      <c r="D1292">
        <f>VLOOKUP(A1292,收盤價!A:C,3,0)</f>
        <v>18.7</v>
      </c>
      <c r="E1292" s="187">
        <v>3.8888888888888848E-2</v>
      </c>
      <c r="F1292">
        <v>18.489999999999998</v>
      </c>
    </row>
    <row r="1293" spans="1:6">
      <c r="A1293">
        <v>1702</v>
      </c>
      <c r="B1293" t="s">
        <v>700</v>
      </c>
      <c r="C1293">
        <v>67.5</v>
      </c>
      <c r="D1293">
        <f>VLOOKUP(A1293,收盤價!A:C,3,0)</f>
        <v>70.099999999999994</v>
      </c>
      <c r="E1293" s="187">
        <v>3.8518518518518431E-2</v>
      </c>
      <c r="F1293">
        <v>18.420000000000002</v>
      </c>
    </row>
    <row r="1294" spans="1:6">
      <c r="A1294">
        <v>1219</v>
      </c>
      <c r="B1294" t="s">
        <v>561</v>
      </c>
      <c r="C1294">
        <v>14.3</v>
      </c>
      <c r="D1294">
        <f>VLOOKUP(A1294,收盤價!A:C,3,0)</f>
        <v>14.85</v>
      </c>
      <c r="E1294" s="187">
        <v>3.8461538461538387E-2</v>
      </c>
      <c r="F1294">
        <v>18.36</v>
      </c>
    </row>
    <row r="1295" spans="1:6">
      <c r="A1295">
        <v>2023</v>
      </c>
      <c r="B1295" t="s">
        <v>762</v>
      </c>
      <c r="C1295">
        <v>7.12</v>
      </c>
      <c r="D1295">
        <f>VLOOKUP(A1295,收盤價!A:C,3,0)</f>
        <v>7.38</v>
      </c>
      <c r="E1295" s="187">
        <v>3.6516853932584241E-2</v>
      </c>
      <c r="F1295">
        <v>18.3</v>
      </c>
    </row>
    <row r="1296" spans="1:6">
      <c r="A1296">
        <v>5259</v>
      </c>
      <c r="B1296" t="s">
        <v>1233</v>
      </c>
      <c r="C1296">
        <v>7.43</v>
      </c>
      <c r="D1296">
        <f>VLOOKUP(A1296,收盤價!A:C,3,0)</f>
        <v>7.7</v>
      </c>
      <c r="E1296" s="187">
        <v>3.6339165545087544E-2</v>
      </c>
      <c r="F1296">
        <v>18.23</v>
      </c>
    </row>
    <row r="1297" spans="1:6">
      <c r="A1297">
        <v>6101</v>
      </c>
      <c r="B1297" t="s">
        <v>1708</v>
      </c>
      <c r="C1297">
        <v>13.9</v>
      </c>
      <c r="D1297">
        <f>VLOOKUP(A1297,收盤價!A:C,3,0)</f>
        <v>14.4</v>
      </c>
      <c r="E1297" s="187">
        <v>3.5971223021582732E-2</v>
      </c>
      <c r="F1297">
        <v>18.170000000000002</v>
      </c>
    </row>
    <row r="1298" spans="1:6">
      <c r="A1298">
        <v>4712</v>
      </c>
      <c r="B1298" t="s">
        <v>388</v>
      </c>
      <c r="C1298">
        <v>7.05</v>
      </c>
      <c r="D1298">
        <f>VLOOKUP(A1298,收盤價!A:C,3,0)</f>
        <v>7.3</v>
      </c>
      <c r="E1298" s="187">
        <v>3.5460992907801421E-2</v>
      </c>
      <c r="F1298">
        <v>18.11</v>
      </c>
    </row>
    <row r="1299" spans="1:6">
      <c r="A1299">
        <v>5601</v>
      </c>
      <c r="B1299" t="s">
        <v>1696</v>
      </c>
      <c r="C1299">
        <v>25.5</v>
      </c>
      <c r="D1299">
        <f>VLOOKUP(A1299,收盤價!A:C,3,0)</f>
        <v>26.4</v>
      </c>
      <c r="E1299" s="187">
        <v>3.5294117647058768E-2</v>
      </c>
      <c r="F1299">
        <v>18.04</v>
      </c>
    </row>
    <row r="1300" spans="1:6">
      <c r="A1300">
        <v>8044</v>
      </c>
      <c r="B1300" t="s">
        <v>1784</v>
      </c>
      <c r="C1300">
        <v>301.5</v>
      </c>
      <c r="D1300">
        <f>VLOOKUP(A1300,收盤價!A:C,3,0)</f>
        <v>312</v>
      </c>
      <c r="E1300" s="187">
        <v>3.482587064676617E-2</v>
      </c>
      <c r="F1300">
        <v>17.98</v>
      </c>
    </row>
    <row r="1301" spans="1:6">
      <c r="A1301">
        <v>3628</v>
      </c>
      <c r="B1301" t="s">
        <v>1548</v>
      </c>
      <c r="C1301">
        <v>48.3</v>
      </c>
      <c r="D1301">
        <f>VLOOKUP(A1301,收盤價!A:C,3,0)</f>
        <v>49.95</v>
      </c>
      <c r="E1301" s="187">
        <v>3.4161490683229934E-2</v>
      </c>
      <c r="F1301">
        <v>17.920000000000002</v>
      </c>
    </row>
    <row r="1302" spans="1:6">
      <c r="A1302">
        <v>5607</v>
      </c>
      <c r="B1302" t="s">
        <v>1253</v>
      </c>
      <c r="C1302">
        <v>14.75</v>
      </c>
      <c r="D1302">
        <f>VLOOKUP(A1302,收盤價!A:C,3,0)</f>
        <v>15.25</v>
      </c>
      <c r="E1302" s="187">
        <v>3.3898305084745763E-2</v>
      </c>
      <c r="F1302">
        <v>17.850000000000001</v>
      </c>
    </row>
    <row r="1303" spans="1:6">
      <c r="A1303">
        <v>5426</v>
      </c>
      <c r="B1303" t="s">
        <v>431</v>
      </c>
      <c r="C1303">
        <v>10.45</v>
      </c>
      <c r="D1303">
        <f>VLOOKUP(A1303,收盤價!A:C,3,0)</f>
        <v>10.8</v>
      </c>
      <c r="E1303" s="187">
        <v>3.3492822966507317E-2</v>
      </c>
      <c r="F1303">
        <v>17.79</v>
      </c>
    </row>
    <row r="1304" spans="1:6">
      <c r="A1304">
        <v>6603</v>
      </c>
      <c r="B1304" t="s">
        <v>498</v>
      </c>
      <c r="C1304">
        <v>10.5</v>
      </c>
      <c r="D1304">
        <f>VLOOKUP(A1304,收盤價!A:C,3,0)</f>
        <v>10.85</v>
      </c>
      <c r="E1304" s="187">
        <v>3.3333333333333298E-2</v>
      </c>
      <c r="F1304">
        <v>17.73</v>
      </c>
    </row>
    <row r="1305" spans="1:6">
      <c r="A1305">
        <v>1402</v>
      </c>
      <c r="B1305" t="s">
        <v>597</v>
      </c>
      <c r="C1305">
        <v>25.65</v>
      </c>
      <c r="D1305">
        <f>VLOOKUP(A1305,收盤價!A:C,3,0)</f>
        <v>26.5</v>
      </c>
      <c r="E1305" s="187">
        <v>3.3138401559454252E-2</v>
      </c>
      <c r="F1305">
        <v>17.670000000000002</v>
      </c>
    </row>
    <row r="1306" spans="1:6">
      <c r="A1306">
        <v>1452</v>
      </c>
      <c r="B1306" t="s">
        <v>624</v>
      </c>
      <c r="C1306">
        <v>25.85</v>
      </c>
      <c r="D1306">
        <f>VLOOKUP(A1306,收盤價!A:C,3,0)</f>
        <v>26.7</v>
      </c>
      <c r="E1306" s="187">
        <v>3.2882011605415776E-2</v>
      </c>
      <c r="F1306">
        <v>17.600000000000001</v>
      </c>
    </row>
    <row r="1307" spans="1:6">
      <c r="A1307">
        <v>3045</v>
      </c>
      <c r="B1307" t="s">
        <v>1084</v>
      </c>
      <c r="C1307">
        <v>97.4</v>
      </c>
      <c r="D1307">
        <f>VLOOKUP(A1307,收盤價!A:C,3,0)</f>
        <v>100.5</v>
      </c>
      <c r="E1307" s="187">
        <v>3.1827515400410615E-2</v>
      </c>
      <c r="F1307">
        <v>17.54</v>
      </c>
    </row>
    <row r="1308" spans="1:6">
      <c r="A1308">
        <v>9950</v>
      </c>
      <c r="B1308" t="s">
        <v>1851</v>
      </c>
      <c r="C1308">
        <v>19.8</v>
      </c>
      <c r="D1308">
        <f>VLOOKUP(A1308,收盤價!A:C,3,0)</f>
        <v>20.399999999999999</v>
      </c>
      <c r="E1308" s="187">
        <v>3.0303030303030193E-2</v>
      </c>
      <c r="F1308">
        <v>17.48</v>
      </c>
    </row>
    <row r="1309" spans="1:6">
      <c r="A1309">
        <v>8401</v>
      </c>
      <c r="B1309" t="s">
        <v>1827</v>
      </c>
      <c r="C1309">
        <v>11.65</v>
      </c>
      <c r="D1309">
        <f>VLOOKUP(A1309,收盤價!A:C,3,0)</f>
        <v>12</v>
      </c>
      <c r="E1309" s="187">
        <v>3.0042918454935591E-2</v>
      </c>
      <c r="F1309">
        <v>17.41</v>
      </c>
    </row>
    <row r="1310" spans="1:6">
      <c r="A1310">
        <v>2892</v>
      </c>
      <c r="B1310" t="s">
        <v>1033</v>
      </c>
      <c r="C1310">
        <v>15</v>
      </c>
      <c r="D1310">
        <f>VLOOKUP(A1310,收盤價!A:C,3,0)</f>
        <v>15.45</v>
      </c>
      <c r="E1310" s="187">
        <v>2.9999999999999954E-2</v>
      </c>
      <c r="F1310">
        <v>17.350000000000001</v>
      </c>
    </row>
    <row r="1311" spans="1:6">
      <c r="A1311">
        <v>1435</v>
      </c>
      <c r="B1311" t="s">
        <v>609</v>
      </c>
      <c r="C1311">
        <v>4.4000000000000004</v>
      </c>
      <c r="D1311">
        <f>VLOOKUP(A1311,收盤價!A:C,3,0)</f>
        <v>4.53</v>
      </c>
      <c r="E1311" s="187">
        <v>2.9545454545454517E-2</v>
      </c>
      <c r="F1311">
        <v>17.29</v>
      </c>
    </row>
    <row r="1312" spans="1:6">
      <c r="A1312">
        <v>2515</v>
      </c>
      <c r="B1312" t="s">
        <v>948</v>
      </c>
      <c r="C1312">
        <v>7.02</v>
      </c>
      <c r="D1312">
        <f>VLOOKUP(A1312,收盤價!A:C,3,0)</f>
        <v>7.22</v>
      </c>
      <c r="E1312" s="187">
        <v>2.8490028490028518E-2</v>
      </c>
      <c r="F1312">
        <v>17.22</v>
      </c>
    </row>
    <row r="1313" spans="1:6">
      <c r="A1313">
        <v>4534</v>
      </c>
      <c r="B1313" t="s">
        <v>1609</v>
      </c>
      <c r="C1313">
        <v>10.6</v>
      </c>
      <c r="D1313">
        <f>VLOOKUP(A1313,收盤價!A:C,3,0)</f>
        <v>10.9</v>
      </c>
      <c r="E1313" s="187">
        <v>2.8301886792452897E-2</v>
      </c>
      <c r="F1313">
        <v>17.16</v>
      </c>
    </row>
    <row r="1314" spans="1:6">
      <c r="A1314">
        <v>1233</v>
      </c>
      <c r="B1314" t="s">
        <v>568</v>
      </c>
      <c r="C1314">
        <v>37</v>
      </c>
      <c r="D1314">
        <f>VLOOKUP(A1314,收盤價!A:C,3,0)</f>
        <v>38</v>
      </c>
      <c r="E1314" s="187">
        <v>2.7027027027027029E-2</v>
      </c>
      <c r="F1314">
        <v>17.100000000000001</v>
      </c>
    </row>
    <row r="1315" spans="1:6">
      <c r="A1315">
        <v>2383</v>
      </c>
      <c r="B1315" t="s">
        <v>854</v>
      </c>
      <c r="C1315">
        <v>63</v>
      </c>
      <c r="D1315">
        <f>VLOOKUP(A1315,收盤價!A:C,3,0)</f>
        <v>64.7</v>
      </c>
      <c r="E1315" s="187">
        <v>2.6984126984127031E-2</v>
      </c>
      <c r="F1315">
        <v>17.03</v>
      </c>
    </row>
    <row r="1316" spans="1:6">
      <c r="A1316">
        <v>1584</v>
      </c>
      <c r="B1316" t="s">
        <v>1443</v>
      </c>
      <c r="C1316">
        <v>13.15</v>
      </c>
      <c r="D1316">
        <f>VLOOKUP(A1316,收盤價!A:C,3,0)</f>
        <v>13.5</v>
      </c>
      <c r="E1316" s="187">
        <v>2.661596958174902E-2</v>
      </c>
      <c r="F1316">
        <v>16.97</v>
      </c>
    </row>
    <row r="1317" spans="1:6">
      <c r="A1317">
        <v>2606</v>
      </c>
      <c r="B1317" t="s">
        <v>972</v>
      </c>
      <c r="C1317">
        <v>28.45</v>
      </c>
      <c r="D1317">
        <f>VLOOKUP(A1317,收盤價!A:C,3,0)</f>
        <v>29.2</v>
      </c>
      <c r="E1317" s="187">
        <v>2.6362038664323375E-2</v>
      </c>
      <c r="F1317">
        <v>16.91</v>
      </c>
    </row>
    <row r="1318" spans="1:6">
      <c r="A1318">
        <v>2466</v>
      </c>
      <c r="B1318" t="s">
        <v>915</v>
      </c>
      <c r="C1318">
        <v>29.65</v>
      </c>
      <c r="D1318">
        <f>VLOOKUP(A1318,收盤價!A:C,3,0)</f>
        <v>30.4</v>
      </c>
      <c r="E1318" s="187">
        <v>2.5295109612141653E-2</v>
      </c>
      <c r="F1318">
        <v>16.850000000000001</v>
      </c>
    </row>
    <row r="1319" spans="1:6">
      <c r="A1319">
        <v>5234</v>
      </c>
      <c r="B1319" t="s">
        <v>1231</v>
      </c>
      <c r="C1319">
        <v>29.85</v>
      </c>
      <c r="D1319">
        <f>VLOOKUP(A1319,收盤價!A:C,3,0)</f>
        <v>30.6</v>
      </c>
      <c r="E1319" s="187">
        <v>2.5125628140703515E-2</v>
      </c>
      <c r="F1319">
        <v>16.78</v>
      </c>
    </row>
    <row r="1320" spans="1:6">
      <c r="A1320">
        <v>2109</v>
      </c>
      <c r="B1320" t="s">
        <v>785</v>
      </c>
      <c r="C1320">
        <v>12</v>
      </c>
      <c r="D1320">
        <f>VLOOKUP(A1320,收盤價!A:C,3,0)</f>
        <v>12.3</v>
      </c>
      <c r="E1320" s="187">
        <v>2.500000000000006E-2</v>
      </c>
      <c r="F1320">
        <v>16.72</v>
      </c>
    </row>
    <row r="1321" spans="1:6">
      <c r="A1321">
        <v>2538</v>
      </c>
      <c r="B1321" t="s">
        <v>959</v>
      </c>
      <c r="C1321">
        <v>16.05</v>
      </c>
      <c r="D1321">
        <f>VLOOKUP(A1321,收盤價!A:C,3,0)</f>
        <v>16.45</v>
      </c>
      <c r="E1321" s="187">
        <v>2.4922118380062214E-2</v>
      </c>
      <c r="F1321">
        <v>16.66</v>
      </c>
    </row>
    <row r="1322" spans="1:6">
      <c r="A1322">
        <v>1615</v>
      </c>
      <c r="B1322" t="s">
        <v>694</v>
      </c>
      <c r="C1322">
        <v>9.65</v>
      </c>
      <c r="D1322">
        <f>VLOOKUP(A1322,收盤價!A:C,3,0)</f>
        <v>9.89</v>
      </c>
      <c r="E1322" s="187">
        <v>2.4870466321243543E-2</v>
      </c>
      <c r="F1322">
        <v>16.59</v>
      </c>
    </row>
    <row r="1323" spans="1:6">
      <c r="A1323">
        <v>4173</v>
      </c>
      <c r="B1323" t="s">
        <v>373</v>
      </c>
      <c r="C1323">
        <v>28.9</v>
      </c>
      <c r="D1323">
        <f>VLOOKUP(A1323,收盤價!A:C,3,0)</f>
        <v>29.6</v>
      </c>
      <c r="E1323" s="187">
        <v>2.4221453287197332E-2</v>
      </c>
      <c r="F1323">
        <v>16.53</v>
      </c>
    </row>
    <row r="1324" spans="1:6">
      <c r="A1324">
        <v>5398</v>
      </c>
      <c r="B1324" t="s">
        <v>429</v>
      </c>
      <c r="C1324">
        <v>16.7</v>
      </c>
      <c r="D1324">
        <f>VLOOKUP(A1324,收盤價!A:C,3,0)</f>
        <v>17.100000000000001</v>
      </c>
      <c r="E1324" s="187">
        <v>2.3952095808383363E-2</v>
      </c>
      <c r="F1324">
        <v>16.47</v>
      </c>
    </row>
    <row r="1325" spans="1:6">
      <c r="A1325">
        <v>3294</v>
      </c>
      <c r="B1325" t="s">
        <v>314</v>
      </c>
      <c r="C1325">
        <v>19.2</v>
      </c>
      <c r="D1325">
        <f>VLOOKUP(A1325,收盤價!A:C,3,0)</f>
        <v>19.649999999999999</v>
      </c>
      <c r="E1325" s="187">
        <v>2.3437499999999965E-2</v>
      </c>
      <c r="F1325">
        <v>16.399999999999999</v>
      </c>
    </row>
    <row r="1326" spans="1:6">
      <c r="A1326">
        <v>8054</v>
      </c>
      <c r="B1326" t="s">
        <v>502</v>
      </c>
      <c r="C1326">
        <v>19.95</v>
      </c>
      <c r="D1326">
        <f>VLOOKUP(A1326,收盤價!A:C,3,0)</f>
        <v>20.399999999999999</v>
      </c>
      <c r="E1326" s="187">
        <v>2.2556390977443573E-2</v>
      </c>
      <c r="F1326">
        <v>16.34</v>
      </c>
    </row>
    <row r="1327" spans="1:6">
      <c r="A1327">
        <v>9937</v>
      </c>
      <c r="B1327" t="s">
        <v>1425</v>
      </c>
      <c r="C1327">
        <v>35.5</v>
      </c>
      <c r="D1327">
        <f>VLOOKUP(A1327,收盤價!A:C,3,0)</f>
        <v>36.299999999999997</v>
      </c>
      <c r="E1327" s="187">
        <v>2.2535211267605555E-2</v>
      </c>
      <c r="F1327">
        <v>16.28</v>
      </c>
    </row>
    <row r="1328" spans="1:6">
      <c r="A1328">
        <v>6184</v>
      </c>
      <c r="B1328" t="s">
        <v>1286</v>
      </c>
      <c r="C1328">
        <v>50.7</v>
      </c>
      <c r="D1328">
        <f>VLOOKUP(A1328,收盤價!A:C,3,0)</f>
        <v>51.8</v>
      </c>
      <c r="E1328" s="187">
        <v>2.169625246548312E-2</v>
      </c>
      <c r="F1328">
        <v>16.21</v>
      </c>
    </row>
    <row r="1329" spans="1:6">
      <c r="A1329">
        <v>9946</v>
      </c>
      <c r="B1329" t="s">
        <v>1434</v>
      </c>
      <c r="C1329">
        <v>14</v>
      </c>
      <c r="D1329">
        <f>VLOOKUP(A1329,收盤價!A:C,3,0)</f>
        <v>14.3</v>
      </c>
      <c r="E1329" s="187">
        <v>2.1428571428571481E-2</v>
      </c>
      <c r="F1329">
        <v>16.149999999999999</v>
      </c>
    </row>
    <row r="1330" spans="1:6">
      <c r="A1330">
        <v>1617</v>
      </c>
      <c r="B1330" t="s">
        <v>696</v>
      </c>
      <c r="C1330">
        <v>6.69</v>
      </c>
      <c r="D1330">
        <f>VLOOKUP(A1330,收盤價!A:C,3,0)</f>
        <v>6.83</v>
      </c>
      <c r="E1330" s="187">
        <v>2.0926756352765273E-2</v>
      </c>
      <c r="F1330">
        <v>16.09</v>
      </c>
    </row>
    <row r="1331" spans="1:6">
      <c r="A1331">
        <v>2812</v>
      </c>
      <c r="B1331" t="s">
        <v>1001</v>
      </c>
      <c r="C1331">
        <v>9.69</v>
      </c>
      <c r="D1331">
        <f>VLOOKUP(A1331,收盤價!A:C,3,0)</f>
        <v>9.89</v>
      </c>
      <c r="E1331" s="187">
        <v>2.0639834881321061E-2</v>
      </c>
      <c r="F1331">
        <v>16.03</v>
      </c>
    </row>
    <row r="1332" spans="1:6">
      <c r="A1332">
        <v>3040</v>
      </c>
      <c r="B1332" t="s">
        <v>1079</v>
      </c>
      <c r="C1332">
        <v>34.450000000000003</v>
      </c>
      <c r="D1332">
        <f>VLOOKUP(A1332,收盤價!A:C,3,0)</f>
        <v>35.15</v>
      </c>
      <c r="E1332" s="187">
        <v>2.0319303338171137E-2</v>
      </c>
      <c r="F1332">
        <v>15.96</v>
      </c>
    </row>
    <row r="1333" spans="1:6">
      <c r="A1333">
        <v>2030</v>
      </c>
      <c r="B1333" t="s">
        <v>768</v>
      </c>
      <c r="C1333">
        <v>8.9700000000000006</v>
      </c>
      <c r="D1333">
        <f>VLOOKUP(A1333,收盤價!A:C,3,0)</f>
        <v>9.15</v>
      </c>
      <c r="E1333" s="187">
        <v>2.0066889632106989E-2</v>
      </c>
      <c r="F1333">
        <v>15.9</v>
      </c>
    </row>
    <row r="1334" spans="1:6">
      <c r="A1334">
        <v>5604</v>
      </c>
      <c r="B1334" t="s">
        <v>1697</v>
      </c>
      <c r="C1334">
        <v>34.9</v>
      </c>
      <c r="D1334">
        <f>VLOOKUP(A1334,收盤價!A:C,3,0)</f>
        <v>35.6</v>
      </c>
      <c r="E1334" s="187">
        <v>2.0057306590257961E-2</v>
      </c>
      <c r="F1334">
        <v>15.84</v>
      </c>
    </row>
    <row r="1335" spans="1:6">
      <c r="A1335">
        <v>2605</v>
      </c>
      <c r="B1335" t="s">
        <v>971</v>
      </c>
      <c r="C1335">
        <v>17.75</v>
      </c>
      <c r="D1335">
        <f>VLOOKUP(A1335,收盤價!A:C,3,0)</f>
        <v>18.100000000000001</v>
      </c>
      <c r="E1335" s="187">
        <v>1.9718309859155011E-2</v>
      </c>
      <c r="F1335">
        <v>15.77</v>
      </c>
    </row>
    <row r="1336" spans="1:6">
      <c r="A1336">
        <v>9926</v>
      </c>
      <c r="B1336" t="s">
        <v>1416</v>
      </c>
      <c r="C1336">
        <v>39.75</v>
      </c>
      <c r="D1336">
        <f>VLOOKUP(A1336,收盤價!A:C,3,0)</f>
        <v>40.5</v>
      </c>
      <c r="E1336" s="187">
        <v>1.8867924528301886E-2</v>
      </c>
      <c r="F1336">
        <v>15.71</v>
      </c>
    </row>
    <row r="1337" spans="1:6">
      <c r="A1337">
        <v>2461</v>
      </c>
      <c r="B1337" t="s">
        <v>911</v>
      </c>
      <c r="C1337">
        <v>13.7</v>
      </c>
      <c r="D1337">
        <f>VLOOKUP(A1337,收盤價!A:C,3,0)</f>
        <v>13.95</v>
      </c>
      <c r="E1337" s="187">
        <v>1.8248175182481754E-2</v>
      </c>
      <c r="F1337">
        <v>15.65</v>
      </c>
    </row>
    <row r="1338" spans="1:6">
      <c r="A1338">
        <v>4535</v>
      </c>
      <c r="B1338" t="s">
        <v>1610</v>
      </c>
      <c r="C1338">
        <v>44.7</v>
      </c>
      <c r="D1338">
        <f>VLOOKUP(A1338,收盤價!A:C,3,0)</f>
        <v>45.5</v>
      </c>
      <c r="E1338" s="187">
        <v>1.7897091722595012E-2</v>
      </c>
      <c r="F1338">
        <v>15.58</v>
      </c>
    </row>
    <row r="1339" spans="1:6">
      <c r="A1339">
        <v>2724</v>
      </c>
      <c r="B1339" t="s">
        <v>1461</v>
      </c>
      <c r="C1339">
        <v>14.25</v>
      </c>
      <c r="D1339">
        <f>VLOOKUP(A1339,收盤價!A:C,3,0)</f>
        <v>14.5</v>
      </c>
      <c r="E1339" s="187">
        <v>1.7543859649122806E-2</v>
      </c>
      <c r="F1339">
        <v>15.52</v>
      </c>
    </row>
    <row r="1340" spans="1:6">
      <c r="A1340">
        <v>8358</v>
      </c>
      <c r="B1340" t="s">
        <v>1825</v>
      </c>
      <c r="C1340">
        <v>8.5500000000000007</v>
      </c>
      <c r="D1340">
        <f>VLOOKUP(A1340,收盤價!A:C,3,0)</f>
        <v>8.6999999999999993</v>
      </c>
      <c r="E1340" s="187">
        <v>1.754385964912264E-2</v>
      </c>
      <c r="F1340">
        <v>15.46</v>
      </c>
    </row>
    <row r="1341" spans="1:6">
      <c r="A1341">
        <v>8183</v>
      </c>
      <c r="B1341" t="s">
        <v>1814</v>
      </c>
      <c r="C1341">
        <v>5.15</v>
      </c>
      <c r="D1341">
        <f>VLOOKUP(A1341,收盤價!A:C,3,0)</f>
        <v>5.24</v>
      </c>
      <c r="E1341" s="187">
        <v>1.7475728155339779E-2</v>
      </c>
      <c r="F1341">
        <v>15.39</v>
      </c>
    </row>
    <row r="1342" spans="1:6">
      <c r="A1342">
        <v>5603</v>
      </c>
      <c r="B1342" t="s">
        <v>446</v>
      </c>
      <c r="C1342">
        <v>15.2</v>
      </c>
      <c r="D1342">
        <f>VLOOKUP(A1342,收盤價!A:C,3,0)</f>
        <v>15.45</v>
      </c>
      <c r="E1342" s="187">
        <v>1.6447368421052631E-2</v>
      </c>
      <c r="F1342">
        <v>15.33</v>
      </c>
    </row>
    <row r="1343" spans="1:6">
      <c r="A1343">
        <v>9910</v>
      </c>
      <c r="B1343" t="s">
        <v>1406</v>
      </c>
      <c r="C1343">
        <v>183</v>
      </c>
      <c r="D1343">
        <f>VLOOKUP(A1343,收盤價!A:C,3,0)</f>
        <v>186</v>
      </c>
      <c r="E1343" s="187">
        <v>1.6393442622950821E-2</v>
      </c>
      <c r="F1343">
        <v>15.27</v>
      </c>
    </row>
    <row r="1344" spans="1:6">
      <c r="A1344">
        <v>2440</v>
      </c>
      <c r="B1344" t="s">
        <v>894</v>
      </c>
      <c r="C1344">
        <v>7.97</v>
      </c>
      <c r="D1344">
        <f>VLOOKUP(A1344,收盤價!A:C,3,0)</f>
        <v>8.1</v>
      </c>
      <c r="E1344" s="187">
        <v>1.6311166875784176E-2</v>
      </c>
      <c r="F1344">
        <v>15.21</v>
      </c>
    </row>
    <row r="1345" spans="1:6">
      <c r="A1345">
        <v>2349</v>
      </c>
      <c r="B1345" t="s">
        <v>826</v>
      </c>
      <c r="C1345">
        <v>2.64</v>
      </c>
      <c r="D1345">
        <f>VLOOKUP(A1345,收盤價!A:C,3,0)</f>
        <v>2.68</v>
      </c>
      <c r="E1345" s="187">
        <v>1.5151515151515164E-2</v>
      </c>
      <c r="F1345">
        <v>15.14</v>
      </c>
    </row>
    <row r="1346" spans="1:6">
      <c r="A1346">
        <v>1626</v>
      </c>
      <c r="B1346" t="s">
        <v>698</v>
      </c>
      <c r="C1346">
        <v>23.2</v>
      </c>
      <c r="D1346">
        <f>VLOOKUP(A1346,收盤價!A:C,3,0)</f>
        <v>23.55</v>
      </c>
      <c r="E1346" s="187">
        <v>1.5086206896551786E-2</v>
      </c>
      <c r="F1346">
        <v>15.08</v>
      </c>
    </row>
    <row r="1347" spans="1:6">
      <c r="A1347">
        <v>3052</v>
      </c>
      <c r="B1347" t="s">
        <v>1091</v>
      </c>
      <c r="C1347">
        <v>10.1</v>
      </c>
      <c r="D1347">
        <f>VLOOKUP(A1347,收盤價!A:C,3,0)</f>
        <v>10.25</v>
      </c>
      <c r="E1347" s="187">
        <v>1.4851485148514887E-2</v>
      </c>
      <c r="F1347">
        <v>15.02</v>
      </c>
    </row>
    <row r="1348" spans="1:6">
      <c r="A1348">
        <v>8463</v>
      </c>
      <c r="B1348" t="s">
        <v>1372</v>
      </c>
      <c r="C1348">
        <v>24.15</v>
      </c>
      <c r="D1348">
        <f>VLOOKUP(A1348,收盤價!A:C,3,0)</f>
        <v>24.5</v>
      </c>
      <c r="E1348" s="187">
        <v>1.4492753623188465E-2</v>
      </c>
      <c r="F1348">
        <v>14.95</v>
      </c>
    </row>
    <row r="1349" spans="1:6">
      <c r="A1349">
        <v>2845</v>
      </c>
      <c r="B1349" t="s">
        <v>1010</v>
      </c>
      <c r="C1349">
        <v>9.81</v>
      </c>
      <c r="D1349">
        <f>VLOOKUP(A1349,收盤價!A:C,3,0)</f>
        <v>9.9499999999999993</v>
      </c>
      <c r="E1349" s="187">
        <v>1.4271151885830662E-2</v>
      </c>
      <c r="F1349">
        <v>14.89</v>
      </c>
    </row>
    <row r="1350" spans="1:6">
      <c r="A1350">
        <v>5514</v>
      </c>
      <c r="B1350" t="s">
        <v>1691</v>
      </c>
      <c r="C1350">
        <v>11.25</v>
      </c>
      <c r="D1350">
        <f>VLOOKUP(A1350,收盤價!A:C,3,0)</f>
        <v>11.4</v>
      </c>
      <c r="E1350" s="187">
        <v>1.3333333333333365E-2</v>
      </c>
      <c r="F1350">
        <v>14.83</v>
      </c>
    </row>
    <row r="1351" spans="1:6">
      <c r="A1351">
        <v>3008</v>
      </c>
      <c r="B1351" t="s">
        <v>1052</v>
      </c>
      <c r="C1351">
        <v>2680</v>
      </c>
      <c r="D1351">
        <f>VLOOKUP(A1351,收盤價!A:C,3,0)</f>
        <v>2715</v>
      </c>
      <c r="E1351" s="187">
        <v>1.3059701492537313E-2</v>
      </c>
      <c r="F1351">
        <v>14.76</v>
      </c>
    </row>
    <row r="1352" spans="1:6">
      <c r="A1352">
        <v>2834</v>
      </c>
      <c r="B1352" t="s">
        <v>1006</v>
      </c>
      <c r="C1352">
        <v>8.08</v>
      </c>
      <c r="D1352">
        <f>VLOOKUP(A1352,收盤價!A:C,3,0)</f>
        <v>8.18</v>
      </c>
      <c r="E1352" s="187">
        <v>1.2376237623762332E-2</v>
      </c>
      <c r="F1352">
        <v>14.7</v>
      </c>
    </row>
    <row r="1353" spans="1:6">
      <c r="A1353">
        <v>1469</v>
      </c>
      <c r="B1353" t="s">
        <v>638</v>
      </c>
      <c r="C1353">
        <v>12.25</v>
      </c>
      <c r="D1353">
        <f>VLOOKUP(A1353,收盤價!A:C,3,0)</f>
        <v>12.4</v>
      </c>
      <c r="E1353" s="187">
        <v>1.2244897959183702E-2</v>
      </c>
      <c r="F1353">
        <v>14.64</v>
      </c>
    </row>
    <row r="1354" spans="1:6">
      <c r="A1354">
        <v>3591</v>
      </c>
      <c r="B1354" t="s">
        <v>1156</v>
      </c>
      <c r="C1354">
        <v>17.3</v>
      </c>
      <c r="D1354">
        <f>VLOOKUP(A1354,收盤價!A:C,3,0)</f>
        <v>17.5</v>
      </c>
      <c r="E1354" s="187">
        <v>1.1560693641618455E-2</v>
      </c>
      <c r="F1354">
        <v>14.57</v>
      </c>
    </row>
    <row r="1355" spans="1:6">
      <c r="A1355">
        <v>5534</v>
      </c>
      <c r="B1355" t="s">
        <v>1251</v>
      </c>
      <c r="C1355">
        <v>43.75</v>
      </c>
      <c r="D1355">
        <f>VLOOKUP(A1355,收盤價!A:C,3,0)</f>
        <v>44.25</v>
      </c>
      <c r="E1355" s="187">
        <v>1.1428571428571429E-2</v>
      </c>
      <c r="F1355">
        <v>14.51</v>
      </c>
    </row>
    <row r="1356" spans="1:6">
      <c r="A1356">
        <v>8349</v>
      </c>
      <c r="B1356" t="s">
        <v>1823</v>
      </c>
      <c r="C1356">
        <v>80.2</v>
      </c>
      <c r="D1356">
        <f>VLOOKUP(A1356,收盤價!A:C,3,0)</f>
        <v>81.099999999999994</v>
      </c>
      <c r="E1356" s="187">
        <v>1.1221945137157E-2</v>
      </c>
      <c r="F1356">
        <v>14.45</v>
      </c>
    </row>
    <row r="1357" spans="1:6">
      <c r="A1357">
        <v>1109</v>
      </c>
      <c r="B1357" t="s">
        <v>1854</v>
      </c>
      <c r="C1357">
        <v>9.9</v>
      </c>
      <c r="D1357">
        <f>VLOOKUP(A1357,收盤價!A:C,3,0)</f>
        <v>10</v>
      </c>
      <c r="E1357" s="187">
        <v>1.0101010101010065E-2</v>
      </c>
      <c r="F1357">
        <v>14.38</v>
      </c>
    </row>
    <row r="1358" spans="1:6">
      <c r="A1358">
        <v>9908</v>
      </c>
      <c r="B1358" t="s">
        <v>1405</v>
      </c>
      <c r="C1358">
        <v>21.9</v>
      </c>
      <c r="D1358">
        <f>VLOOKUP(A1358,收盤價!A:C,3,0)</f>
        <v>22.1</v>
      </c>
      <c r="E1358" s="187">
        <v>9.1324200913243305E-3</v>
      </c>
      <c r="F1358">
        <v>14.32</v>
      </c>
    </row>
    <row r="1359" spans="1:6">
      <c r="A1359">
        <v>2886</v>
      </c>
      <c r="B1359" t="s">
        <v>1025</v>
      </c>
      <c r="C1359">
        <v>22.3</v>
      </c>
      <c r="D1359">
        <f>VLOOKUP(A1359,收盤價!A:C,3,0)</f>
        <v>22.5</v>
      </c>
      <c r="E1359" s="187">
        <v>8.9686098654708207E-3</v>
      </c>
      <c r="F1359">
        <v>14.26</v>
      </c>
    </row>
    <row r="1360" spans="1:6">
      <c r="A1360">
        <v>8435</v>
      </c>
      <c r="B1360" t="s">
        <v>523</v>
      </c>
      <c r="C1360">
        <v>46.9</v>
      </c>
      <c r="D1360">
        <f>VLOOKUP(A1360,收盤價!A:C,3,0)</f>
        <v>47.3</v>
      </c>
      <c r="E1360" s="187">
        <v>8.5287846481876036E-3</v>
      </c>
      <c r="F1360">
        <v>14.2</v>
      </c>
    </row>
    <row r="1361" spans="1:6">
      <c r="A1361">
        <v>2906</v>
      </c>
      <c r="B1361" t="s">
        <v>1038</v>
      </c>
      <c r="C1361">
        <v>11.75</v>
      </c>
      <c r="D1361">
        <f>VLOOKUP(A1361,收盤價!A:C,3,0)</f>
        <v>11.85</v>
      </c>
      <c r="E1361" s="187">
        <v>8.5106382978723093E-3</v>
      </c>
      <c r="F1361">
        <v>14.13</v>
      </c>
    </row>
    <row r="1362" spans="1:6">
      <c r="A1362">
        <v>2852</v>
      </c>
      <c r="B1362" t="s">
        <v>1015</v>
      </c>
      <c r="C1362">
        <v>12.1</v>
      </c>
      <c r="D1362">
        <f>VLOOKUP(A1362,收盤價!A:C,3,0)</f>
        <v>12.2</v>
      </c>
      <c r="E1362" s="187">
        <v>8.2644628099173261E-3</v>
      </c>
      <c r="F1362">
        <v>14.07</v>
      </c>
    </row>
    <row r="1363" spans="1:6">
      <c r="A1363">
        <v>5519</v>
      </c>
      <c r="B1363" t="s">
        <v>1245</v>
      </c>
      <c r="C1363">
        <v>13.3</v>
      </c>
      <c r="D1363">
        <f>VLOOKUP(A1363,收盤價!A:C,3,0)</f>
        <v>13.4</v>
      </c>
      <c r="E1363" s="187">
        <v>7.5187969924811757E-3</v>
      </c>
      <c r="F1363">
        <v>14.01</v>
      </c>
    </row>
    <row r="1364" spans="1:6">
      <c r="A1364">
        <v>2612</v>
      </c>
      <c r="B1364" t="s">
        <v>978</v>
      </c>
      <c r="C1364">
        <v>20.9</v>
      </c>
      <c r="D1364">
        <f>VLOOKUP(A1364,收盤價!A:C,3,0)</f>
        <v>21.05</v>
      </c>
      <c r="E1364" s="187">
        <v>7.177033492823069E-3</v>
      </c>
      <c r="F1364">
        <v>13.94</v>
      </c>
    </row>
    <row r="1365" spans="1:6">
      <c r="A1365">
        <v>5432</v>
      </c>
      <c r="B1365" t="s">
        <v>1674</v>
      </c>
      <c r="C1365">
        <v>15</v>
      </c>
      <c r="D1365">
        <f>VLOOKUP(A1365,收盤價!A:C,3,0)</f>
        <v>15.1</v>
      </c>
      <c r="E1365" s="187">
        <v>6.6666666666666428E-3</v>
      </c>
      <c r="F1365">
        <v>13.88</v>
      </c>
    </row>
    <row r="1366" spans="1:6">
      <c r="A1366">
        <v>2024</v>
      </c>
      <c r="B1366" t="s">
        <v>763</v>
      </c>
      <c r="C1366">
        <v>6.68</v>
      </c>
      <c r="D1366">
        <f>VLOOKUP(A1366,收盤價!A:C,3,0)</f>
        <v>6.72</v>
      </c>
      <c r="E1366" s="187">
        <v>5.988023952095814E-3</v>
      </c>
      <c r="F1366">
        <v>13.82</v>
      </c>
    </row>
    <row r="1367" spans="1:6">
      <c r="A1367">
        <v>2227</v>
      </c>
      <c r="B1367" t="s">
        <v>793</v>
      </c>
      <c r="C1367">
        <v>260</v>
      </c>
      <c r="D1367">
        <f>VLOOKUP(A1367,收盤價!A:C,3,0)</f>
        <v>261.5</v>
      </c>
      <c r="E1367" s="187">
        <v>5.7692307692307696E-3</v>
      </c>
      <c r="F1367">
        <v>13.75</v>
      </c>
    </row>
    <row r="1368" spans="1:6">
      <c r="A1368">
        <v>2347</v>
      </c>
      <c r="B1368" t="s">
        <v>824</v>
      </c>
      <c r="C1368">
        <v>31.1</v>
      </c>
      <c r="D1368">
        <f>VLOOKUP(A1368,收盤價!A:C,3,0)</f>
        <v>31.25</v>
      </c>
      <c r="E1368" s="187">
        <v>4.8231511254018837E-3</v>
      </c>
      <c r="F1368">
        <v>13.69</v>
      </c>
    </row>
    <row r="1369" spans="1:6">
      <c r="A1369">
        <v>2731</v>
      </c>
      <c r="B1369" t="s">
        <v>998</v>
      </c>
      <c r="C1369">
        <v>119.5</v>
      </c>
      <c r="D1369">
        <f>VLOOKUP(A1369,收盤價!A:C,3,0)</f>
        <v>120</v>
      </c>
      <c r="E1369" s="187">
        <v>4.1841004184100415E-3</v>
      </c>
      <c r="F1369">
        <v>13.63</v>
      </c>
    </row>
    <row r="1370" spans="1:6">
      <c r="A1370">
        <v>5608</v>
      </c>
      <c r="B1370" t="s">
        <v>1254</v>
      </c>
      <c r="C1370">
        <v>12.25</v>
      </c>
      <c r="D1370">
        <f>VLOOKUP(A1370,收盤價!A:C,3,0)</f>
        <v>12.3</v>
      </c>
      <c r="E1370" s="187">
        <v>4.0816326530612821E-3</v>
      </c>
      <c r="F1370">
        <v>13.56</v>
      </c>
    </row>
    <row r="1371" spans="1:6">
      <c r="A1371">
        <v>6175</v>
      </c>
      <c r="B1371" t="s">
        <v>464</v>
      </c>
      <c r="C1371">
        <v>12.55</v>
      </c>
      <c r="D1371">
        <f>VLOOKUP(A1371,收盤價!A:C,3,0)</f>
        <v>12.6</v>
      </c>
      <c r="E1371" s="187">
        <v>3.9840637450198352E-3</v>
      </c>
      <c r="F1371">
        <v>13.5</v>
      </c>
    </row>
    <row r="1372" spans="1:6">
      <c r="A1372">
        <v>1312</v>
      </c>
      <c r="B1372" t="s">
        <v>581</v>
      </c>
      <c r="C1372">
        <v>14.35</v>
      </c>
      <c r="D1372">
        <f>VLOOKUP(A1372,收盤價!A:C,3,0)</f>
        <v>14.4</v>
      </c>
      <c r="E1372" s="187">
        <v>3.4843205574913386E-3</v>
      </c>
      <c r="F1372">
        <v>13.44</v>
      </c>
    </row>
    <row r="1373" spans="1:6">
      <c r="A1373">
        <v>2637</v>
      </c>
      <c r="B1373" t="s">
        <v>986</v>
      </c>
      <c r="C1373">
        <v>35.700000000000003</v>
      </c>
      <c r="D1373">
        <f>VLOOKUP(A1373,收盤價!A:C,3,0)</f>
        <v>35.799999999999997</v>
      </c>
      <c r="E1373" s="187">
        <v>2.8011204481791121E-3</v>
      </c>
      <c r="F1373">
        <v>13.38</v>
      </c>
    </row>
    <row r="1374" spans="1:6">
      <c r="A1374">
        <v>4417</v>
      </c>
      <c r="B1374" t="s">
        <v>1594</v>
      </c>
      <c r="C1374">
        <v>38.25</v>
      </c>
      <c r="D1374">
        <f>VLOOKUP(A1374,收盤價!A:C,3,0)</f>
        <v>38.35</v>
      </c>
      <c r="E1374" s="187">
        <v>2.6143790849673574E-3</v>
      </c>
      <c r="F1374">
        <v>13.31</v>
      </c>
    </row>
    <row r="1375" spans="1:6">
      <c r="A1375">
        <v>6204</v>
      </c>
      <c r="B1375" t="s">
        <v>1745</v>
      </c>
      <c r="C1375">
        <v>21.95</v>
      </c>
      <c r="D1375">
        <f>VLOOKUP(A1375,收盤價!A:C,3,0)</f>
        <v>21.95</v>
      </c>
      <c r="E1375" s="187">
        <v>0</v>
      </c>
      <c r="F1375">
        <v>13.25</v>
      </c>
    </row>
    <row r="1376" spans="1:6">
      <c r="A1376">
        <v>3362</v>
      </c>
      <c r="B1376" t="s">
        <v>1513</v>
      </c>
      <c r="C1376">
        <v>14.6</v>
      </c>
      <c r="D1376">
        <f>VLOOKUP(A1376,收盤價!A:C,3,0)</f>
        <v>14.6</v>
      </c>
      <c r="E1376" s="187">
        <v>0</v>
      </c>
      <c r="F1376">
        <v>13.19</v>
      </c>
    </row>
    <row r="1377" spans="1:6">
      <c r="A1377">
        <v>2382</v>
      </c>
      <c r="B1377" t="s">
        <v>853</v>
      </c>
      <c r="C1377">
        <v>53.6</v>
      </c>
      <c r="D1377">
        <f>VLOOKUP(A1377,收盤價!A:C,3,0)</f>
        <v>53.6</v>
      </c>
      <c r="E1377" s="187">
        <v>0</v>
      </c>
      <c r="F1377">
        <v>13.12</v>
      </c>
    </row>
    <row r="1378" spans="1:6">
      <c r="A1378">
        <v>2891</v>
      </c>
      <c r="B1378" t="s">
        <v>1030</v>
      </c>
      <c r="C1378">
        <v>17.600000000000001</v>
      </c>
      <c r="D1378">
        <f>VLOOKUP(A1378,收盤價!A:C,3,0)</f>
        <v>17.55</v>
      </c>
      <c r="E1378" s="187">
        <v>-2.8409090909091309E-3</v>
      </c>
      <c r="F1378">
        <v>13.06</v>
      </c>
    </row>
    <row r="1379" spans="1:6">
      <c r="A1379">
        <v>5525</v>
      </c>
      <c r="B1379" t="s">
        <v>1248</v>
      </c>
      <c r="C1379">
        <v>16.399999999999999</v>
      </c>
      <c r="D1379">
        <f>VLOOKUP(A1379,收盤價!A:C,3,0)</f>
        <v>16.350000000000001</v>
      </c>
      <c r="E1379" s="187">
        <v>-3.0487804878047051E-3</v>
      </c>
      <c r="F1379">
        <v>13</v>
      </c>
    </row>
    <row r="1380" spans="1:6">
      <c r="A1380">
        <v>3290</v>
      </c>
      <c r="B1380" t="s">
        <v>1503</v>
      </c>
      <c r="C1380">
        <v>15.05</v>
      </c>
      <c r="D1380">
        <f>VLOOKUP(A1380,收盤價!A:C,3,0)</f>
        <v>15</v>
      </c>
      <c r="E1380" s="187">
        <v>-3.3222591362126715E-3</v>
      </c>
      <c r="F1380">
        <v>12.93</v>
      </c>
    </row>
    <row r="1381" spans="1:6">
      <c r="A1381">
        <v>4549</v>
      </c>
      <c r="B1381" t="s">
        <v>384</v>
      </c>
      <c r="C1381">
        <v>82.8</v>
      </c>
      <c r="D1381">
        <f>VLOOKUP(A1381,收盤價!A:C,3,0)</f>
        <v>82.5</v>
      </c>
      <c r="E1381" s="187">
        <v>-3.6231884057970672E-3</v>
      </c>
      <c r="F1381">
        <v>12.87</v>
      </c>
    </row>
    <row r="1382" spans="1:6">
      <c r="A1382">
        <v>6266</v>
      </c>
      <c r="B1382" t="s">
        <v>1761</v>
      </c>
      <c r="C1382">
        <v>12.85</v>
      </c>
      <c r="D1382">
        <f>VLOOKUP(A1382,收盤價!A:C,3,0)</f>
        <v>12.8</v>
      </c>
      <c r="E1382" s="187">
        <v>-3.8910505836575048E-3</v>
      </c>
      <c r="F1382">
        <v>12.81</v>
      </c>
    </row>
    <row r="1383" spans="1:6">
      <c r="A1383">
        <v>1457</v>
      </c>
      <c r="B1383" t="s">
        <v>629</v>
      </c>
      <c r="C1383">
        <v>12.1</v>
      </c>
      <c r="D1383">
        <f>VLOOKUP(A1383,收盤價!A:C,3,0)</f>
        <v>12.05</v>
      </c>
      <c r="E1383" s="187">
        <v>-4.1322314049585893E-3</v>
      </c>
      <c r="F1383">
        <v>12.74</v>
      </c>
    </row>
    <row r="1384" spans="1:6">
      <c r="A1384">
        <v>2610</v>
      </c>
      <c r="B1384" t="s">
        <v>976</v>
      </c>
      <c r="C1384">
        <v>11.35</v>
      </c>
      <c r="D1384">
        <f>VLOOKUP(A1384,收盤價!A:C,3,0)</f>
        <v>11.3</v>
      </c>
      <c r="E1384" s="187">
        <v>-4.4052863436122407E-3</v>
      </c>
      <c r="F1384">
        <v>12.68</v>
      </c>
    </row>
    <row r="1385" spans="1:6">
      <c r="A1385">
        <v>6261</v>
      </c>
      <c r="B1385" t="s">
        <v>488</v>
      </c>
      <c r="C1385">
        <v>44.8</v>
      </c>
      <c r="D1385">
        <f>VLOOKUP(A1385,收盤價!A:C,3,0)</f>
        <v>44.6</v>
      </c>
      <c r="E1385" s="187">
        <v>-4.4642857142856195E-3</v>
      </c>
      <c r="F1385">
        <v>12.62</v>
      </c>
    </row>
    <row r="1386" spans="1:6">
      <c r="A1386">
        <v>2908</v>
      </c>
      <c r="B1386" t="s">
        <v>1039</v>
      </c>
      <c r="C1386">
        <v>19.7</v>
      </c>
      <c r="D1386">
        <f>VLOOKUP(A1386,收盤價!A:C,3,0)</f>
        <v>19.600000000000001</v>
      </c>
      <c r="E1386" s="187">
        <v>-5.0761421319795875E-3</v>
      </c>
      <c r="F1386">
        <v>12.56</v>
      </c>
    </row>
    <row r="1387" spans="1:6">
      <c r="A1387">
        <v>2528</v>
      </c>
      <c r="B1387" t="s">
        <v>953</v>
      </c>
      <c r="C1387">
        <v>9.48</v>
      </c>
      <c r="D1387">
        <f>VLOOKUP(A1387,收盤價!A:C,3,0)</f>
        <v>9.43</v>
      </c>
      <c r="E1387" s="187">
        <v>-5.2742616033756018E-3</v>
      </c>
      <c r="F1387">
        <v>12.49</v>
      </c>
    </row>
    <row r="1388" spans="1:6">
      <c r="A1388">
        <v>1441</v>
      </c>
      <c r="B1388" t="s">
        <v>615</v>
      </c>
      <c r="C1388">
        <v>7.3</v>
      </c>
      <c r="D1388">
        <f>VLOOKUP(A1388,收盤價!A:C,3,0)</f>
        <v>7.26</v>
      </c>
      <c r="E1388" s="187">
        <v>-5.4794520547945258E-3</v>
      </c>
      <c r="F1388">
        <v>12.43</v>
      </c>
    </row>
    <row r="1389" spans="1:6">
      <c r="A1389">
        <v>2444</v>
      </c>
      <c r="B1389" t="s">
        <v>898</v>
      </c>
      <c r="C1389">
        <v>8.4</v>
      </c>
      <c r="D1389">
        <f>VLOOKUP(A1389,收盤價!A:C,3,0)</f>
        <v>8.35</v>
      </c>
      <c r="E1389" s="187">
        <v>-5.9523809523810371E-3</v>
      </c>
      <c r="F1389">
        <v>12.37</v>
      </c>
    </row>
    <row r="1390" spans="1:6">
      <c r="A1390">
        <v>8927</v>
      </c>
      <c r="B1390" t="s">
        <v>529</v>
      </c>
      <c r="C1390">
        <v>9.89</v>
      </c>
      <c r="D1390">
        <f>VLOOKUP(A1390,收盤價!A:C,3,0)</f>
        <v>9.83</v>
      </c>
      <c r="E1390" s="187">
        <v>-6.0667340748231033E-3</v>
      </c>
      <c r="F1390">
        <v>12.3</v>
      </c>
    </row>
    <row r="1391" spans="1:6">
      <c r="A1391">
        <v>8930</v>
      </c>
      <c r="B1391" t="s">
        <v>532</v>
      </c>
      <c r="C1391">
        <v>9.1</v>
      </c>
      <c r="D1391">
        <f>VLOOKUP(A1391,收盤價!A:C,3,0)</f>
        <v>9.0399999999999991</v>
      </c>
      <c r="E1391" s="187">
        <v>-6.593406593406648E-3</v>
      </c>
      <c r="F1391">
        <v>12.24</v>
      </c>
    </row>
    <row r="1392" spans="1:6">
      <c r="A1392">
        <v>5508</v>
      </c>
      <c r="B1392" t="s">
        <v>1689</v>
      </c>
      <c r="C1392">
        <v>28.55</v>
      </c>
      <c r="D1392">
        <f>VLOOKUP(A1392,收盤價!A:C,3,0)</f>
        <v>28.35</v>
      </c>
      <c r="E1392" s="187">
        <v>-7.0052539404553164E-3</v>
      </c>
      <c r="F1392">
        <v>12.18</v>
      </c>
    </row>
    <row r="1393" spans="1:6">
      <c r="A1393">
        <v>1216</v>
      </c>
      <c r="B1393" t="s">
        <v>558</v>
      </c>
      <c r="C1393">
        <v>55.2</v>
      </c>
      <c r="D1393">
        <f>VLOOKUP(A1393,收盤價!A:C,3,0)</f>
        <v>54.8</v>
      </c>
      <c r="E1393" s="187">
        <v>-7.2463768115943053E-3</v>
      </c>
      <c r="F1393">
        <v>12.11</v>
      </c>
    </row>
    <row r="1394" spans="1:6">
      <c r="A1394">
        <v>6171</v>
      </c>
      <c r="B1394" t="s">
        <v>463</v>
      </c>
      <c r="C1394">
        <v>12.9</v>
      </c>
      <c r="D1394">
        <f>VLOOKUP(A1394,收盤價!A:C,3,0)</f>
        <v>12.8</v>
      </c>
      <c r="E1394" s="187">
        <v>-7.7519379844960962E-3</v>
      </c>
      <c r="F1394">
        <v>12.05</v>
      </c>
    </row>
    <row r="1395" spans="1:6">
      <c r="A1395">
        <v>9944</v>
      </c>
      <c r="B1395" t="s">
        <v>1432</v>
      </c>
      <c r="C1395">
        <v>30.6</v>
      </c>
      <c r="D1395">
        <f>VLOOKUP(A1395,收盤價!A:C,3,0)</f>
        <v>30.35</v>
      </c>
      <c r="E1395" s="187">
        <v>-8.1699346405228763E-3</v>
      </c>
      <c r="F1395">
        <v>11.99</v>
      </c>
    </row>
    <row r="1396" spans="1:6">
      <c r="A1396">
        <v>6212</v>
      </c>
      <c r="B1396" t="s">
        <v>472</v>
      </c>
      <c r="C1396">
        <v>24.3</v>
      </c>
      <c r="D1396">
        <f>VLOOKUP(A1396,收盤價!A:C,3,0)</f>
        <v>24.1</v>
      </c>
      <c r="E1396" s="187">
        <v>-8.2304526748970906E-3</v>
      </c>
      <c r="F1396">
        <v>11.92</v>
      </c>
    </row>
    <row r="1397" spans="1:6">
      <c r="A1397">
        <v>5460</v>
      </c>
      <c r="B1397" t="s">
        <v>1677</v>
      </c>
      <c r="C1397">
        <v>12</v>
      </c>
      <c r="D1397">
        <f>VLOOKUP(A1397,收盤價!A:C,3,0)</f>
        <v>11.9</v>
      </c>
      <c r="E1397" s="187">
        <v>-8.3333333333333037E-3</v>
      </c>
      <c r="F1397">
        <v>11.86</v>
      </c>
    </row>
    <row r="1398" spans="1:6">
      <c r="A1398">
        <v>2509</v>
      </c>
      <c r="B1398" t="s">
        <v>945</v>
      </c>
      <c r="C1398">
        <v>22.7</v>
      </c>
      <c r="D1398">
        <f>VLOOKUP(A1398,收盤價!A:C,3,0)</f>
        <v>22.5</v>
      </c>
      <c r="E1398" s="187">
        <v>-8.8105726872246392E-3</v>
      </c>
      <c r="F1398">
        <v>11.8</v>
      </c>
    </row>
    <row r="1399" spans="1:6">
      <c r="A1399">
        <v>2601</v>
      </c>
      <c r="B1399" t="s">
        <v>969</v>
      </c>
      <c r="C1399">
        <v>9.5399999999999991</v>
      </c>
      <c r="D1399">
        <f>VLOOKUP(A1399,收盤價!A:C,3,0)</f>
        <v>9.4499999999999993</v>
      </c>
      <c r="E1399" s="187">
        <v>-9.4339622641509292E-3</v>
      </c>
      <c r="F1399">
        <v>11.74</v>
      </c>
    </row>
    <row r="1400" spans="1:6">
      <c r="A1400">
        <v>1713</v>
      </c>
      <c r="B1400" t="s">
        <v>708</v>
      </c>
      <c r="C1400">
        <v>15.5</v>
      </c>
      <c r="D1400">
        <f>VLOOKUP(A1400,收盤價!A:C,3,0)</f>
        <v>15.35</v>
      </c>
      <c r="E1400" s="187">
        <v>-9.6774193548387327E-3</v>
      </c>
      <c r="F1400">
        <v>11.67</v>
      </c>
    </row>
    <row r="1401" spans="1:6">
      <c r="A1401">
        <v>2706</v>
      </c>
      <c r="B1401" t="s">
        <v>992</v>
      </c>
      <c r="C1401">
        <v>19.45</v>
      </c>
      <c r="D1401">
        <f>VLOOKUP(A1401,收盤價!A:C,3,0)</f>
        <v>19.25</v>
      </c>
      <c r="E1401" s="187">
        <v>-1.028277634961436E-2</v>
      </c>
      <c r="F1401">
        <v>11.61</v>
      </c>
    </row>
    <row r="1402" spans="1:6">
      <c r="A1402">
        <v>3354</v>
      </c>
      <c r="B1402" t="s">
        <v>1512</v>
      </c>
      <c r="C1402">
        <v>8.0500000000000007</v>
      </c>
      <c r="D1402">
        <f>VLOOKUP(A1402,收盤價!A:C,3,0)</f>
        <v>7.96</v>
      </c>
      <c r="E1402" s="187">
        <v>-1.1180124223602575E-2</v>
      </c>
      <c r="F1402">
        <v>11.55</v>
      </c>
    </row>
    <row r="1403" spans="1:6">
      <c r="A1403">
        <v>2603</v>
      </c>
      <c r="B1403" t="s">
        <v>970</v>
      </c>
      <c r="C1403">
        <v>13.3</v>
      </c>
      <c r="D1403">
        <f>VLOOKUP(A1403,收盤價!A:C,3,0)</f>
        <v>13.15</v>
      </c>
      <c r="E1403" s="187">
        <v>-1.127819548872183E-2</v>
      </c>
      <c r="F1403">
        <v>11.48</v>
      </c>
    </row>
    <row r="1404" spans="1:6">
      <c r="A1404">
        <v>5516</v>
      </c>
      <c r="B1404" t="s">
        <v>1692</v>
      </c>
      <c r="C1404">
        <v>10.050000000000001</v>
      </c>
      <c r="D1404">
        <f>VLOOKUP(A1404,收盤價!A:C,3,0)</f>
        <v>9.93</v>
      </c>
      <c r="E1404" s="187">
        <v>-1.1940298507462786E-2</v>
      </c>
      <c r="F1404">
        <v>11.42</v>
      </c>
    </row>
    <row r="1405" spans="1:6">
      <c r="A1405">
        <v>6165</v>
      </c>
      <c r="B1405" t="s">
        <v>1279</v>
      </c>
      <c r="C1405">
        <v>12.05</v>
      </c>
      <c r="D1405">
        <f>VLOOKUP(A1405,收盤價!A:C,3,0)</f>
        <v>11.9</v>
      </c>
      <c r="E1405" s="187">
        <v>-1.2448132780083016E-2</v>
      </c>
      <c r="F1405">
        <v>11.36</v>
      </c>
    </row>
    <row r="1406" spans="1:6">
      <c r="A1406">
        <v>1101</v>
      </c>
      <c r="B1406" t="s">
        <v>547</v>
      </c>
      <c r="C1406">
        <v>32</v>
      </c>
      <c r="D1406">
        <f>VLOOKUP(A1406,收盤價!A:C,3,0)</f>
        <v>31.6</v>
      </c>
      <c r="E1406" s="187">
        <v>-1.2499999999999956E-2</v>
      </c>
      <c r="F1406">
        <v>11.29</v>
      </c>
    </row>
    <row r="1407" spans="1:6">
      <c r="A1407">
        <v>6219</v>
      </c>
      <c r="B1407" t="s">
        <v>1751</v>
      </c>
      <c r="C1407">
        <v>11.95</v>
      </c>
      <c r="D1407">
        <f>VLOOKUP(A1407,收盤價!A:C,3,0)</f>
        <v>11.8</v>
      </c>
      <c r="E1407" s="187">
        <v>-1.2552301255230007E-2</v>
      </c>
      <c r="F1407">
        <v>11.23</v>
      </c>
    </row>
    <row r="1408" spans="1:6">
      <c r="A1408">
        <v>1229</v>
      </c>
      <c r="B1408" t="s">
        <v>565</v>
      </c>
      <c r="C1408">
        <v>19.600000000000001</v>
      </c>
      <c r="D1408">
        <f>VLOOKUP(A1408,收盤價!A:C,3,0)</f>
        <v>19.350000000000001</v>
      </c>
      <c r="E1408" s="187">
        <v>-1.2755102040816325E-2</v>
      </c>
      <c r="F1408">
        <v>11.17</v>
      </c>
    </row>
    <row r="1409" spans="1:6">
      <c r="A1409">
        <v>5395</v>
      </c>
      <c r="B1409" t="s">
        <v>1672</v>
      </c>
      <c r="C1409">
        <v>31.9</v>
      </c>
      <c r="D1409">
        <f>VLOOKUP(A1409,收盤價!A:C,3,0)</f>
        <v>31.45</v>
      </c>
      <c r="E1409" s="187">
        <v>-1.4106583072100292E-2</v>
      </c>
      <c r="F1409">
        <v>11.1</v>
      </c>
    </row>
    <row r="1410" spans="1:6">
      <c r="A1410">
        <v>4904</v>
      </c>
      <c r="B1410" t="s">
        <v>1206</v>
      </c>
      <c r="C1410">
        <v>71</v>
      </c>
      <c r="D1410">
        <f>VLOOKUP(A1410,收盤價!A:C,3,0)</f>
        <v>69.900000000000006</v>
      </c>
      <c r="E1410" s="187">
        <v>-1.5492957746478794E-2</v>
      </c>
      <c r="F1410">
        <v>11.04</v>
      </c>
    </row>
    <row r="1411" spans="1:6">
      <c r="A1411">
        <v>2104</v>
      </c>
      <c r="B1411" t="s">
        <v>780</v>
      </c>
      <c r="C1411">
        <v>25.6</v>
      </c>
      <c r="D1411">
        <f>VLOOKUP(A1411,收盤價!A:C,3,0)</f>
        <v>25.2</v>
      </c>
      <c r="E1411" s="187">
        <v>-1.5625000000000083E-2</v>
      </c>
      <c r="F1411">
        <v>10.98</v>
      </c>
    </row>
    <row r="1412" spans="1:6">
      <c r="A1412">
        <v>5481</v>
      </c>
      <c r="B1412" t="s">
        <v>1682</v>
      </c>
      <c r="C1412">
        <v>15.7</v>
      </c>
      <c r="D1412">
        <f>VLOOKUP(A1412,收盤價!A:C,3,0)</f>
        <v>15.45</v>
      </c>
      <c r="E1412" s="187">
        <v>-1.5923566878980892E-2</v>
      </c>
      <c r="F1412">
        <v>10.91</v>
      </c>
    </row>
    <row r="1413" spans="1:6">
      <c r="A1413">
        <v>2107</v>
      </c>
      <c r="B1413" t="s">
        <v>783</v>
      </c>
      <c r="C1413">
        <v>18.2</v>
      </c>
      <c r="D1413">
        <f>VLOOKUP(A1413,收盤價!A:C,3,0)</f>
        <v>17.899999999999999</v>
      </c>
      <c r="E1413" s="187">
        <v>-1.6483516483516522E-2</v>
      </c>
      <c r="F1413">
        <v>10.85</v>
      </c>
    </row>
    <row r="1414" spans="1:6">
      <c r="A1414">
        <v>6126</v>
      </c>
      <c r="B1414" t="s">
        <v>1721</v>
      </c>
      <c r="C1414">
        <v>7.5</v>
      </c>
      <c r="D1414">
        <f>VLOOKUP(A1414,收盤價!A:C,3,0)</f>
        <v>7.36</v>
      </c>
      <c r="E1414" s="187">
        <v>-1.8666666666666623E-2</v>
      </c>
      <c r="F1414">
        <v>10.79</v>
      </c>
    </row>
    <row r="1415" spans="1:6">
      <c r="A1415">
        <v>3013</v>
      </c>
      <c r="B1415" t="s">
        <v>1055</v>
      </c>
      <c r="C1415">
        <v>18.149999999999999</v>
      </c>
      <c r="D1415">
        <f>VLOOKUP(A1415,收盤價!A:C,3,0)</f>
        <v>17.8</v>
      </c>
      <c r="E1415" s="187">
        <v>-1.9283746556473712E-2</v>
      </c>
      <c r="F1415">
        <v>10.73</v>
      </c>
    </row>
    <row r="1416" spans="1:6">
      <c r="A1416">
        <v>8913</v>
      </c>
      <c r="B1416" t="s">
        <v>526</v>
      </c>
      <c r="C1416">
        <v>15.55</v>
      </c>
      <c r="D1416">
        <f>VLOOKUP(A1416,收盤價!A:C,3,0)</f>
        <v>15.25</v>
      </c>
      <c r="E1416" s="187">
        <v>-1.929260450160776E-2</v>
      </c>
      <c r="F1416">
        <v>10.66</v>
      </c>
    </row>
    <row r="1417" spans="1:6">
      <c r="A1417">
        <v>8047</v>
      </c>
      <c r="B1417" t="s">
        <v>1785</v>
      </c>
      <c r="C1417">
        <v>11.75</v>
      </c>
      <c r="D1417">
        <f>VLOOKUP(A1417,收盤價!A:C,3,0)</f>
        <v>11.5</v>
      </c>
      <c r="E1417" s="187">
        <v>-2.1276595744680851E-2</v>
      </c>
      <c r="F1417">
        <v>10.6</v>
      </c>
    </row>
    <row r="1418" spans="1:6">
      <c r="A1418">
        <v>3229</v>
      </c>
      <c r="B1418" t="s">
        <v>1108</v>
      </c>
      <c r="C1418">
        <v>18.5</v>
      </c>
      <c r="D1418">
        <f>VLOOKUP(A1418,收盤價!A:C,3,0)</f>
        <v>18.100000000000001</v>
      </c>
      <c r="E1418" s="187">
        <v>-2.1621621621621546E-2</v>
      </c>
      <c r="F1418">
        <v>10.54</v>
      </c>
    </row>
    <row r="1419" spans="1:6">
      <c r="A1419">
        <v>5386</v>
      </c>
      <c r="B1419" t="s">
        <v>1670</v>
      </c>
      <c r="C1419">
        <v>26</v>
      </c>
      <c r="D1419">
        <f>VLOOKUP(A1419,收盤價!A:C,3,0)</f>
        <v>25.4</v>
      </c>
      <c r="E1419" s="187">
        <v>-2.307692307692313E-2</v>
      </c>
      <c r="F1419">
        <v>10.47</v>
      </c>
    </row>
    <row r="1420" spans="1:6">
      <c r="A1420">
        <v>1476</v>
      </c>
      <c r="B1420" t="s">
        <v>645</v>
      </c>
      <c r="C1420">
        <v>457</v>
      </c>
      <c r="D1420">
        <f>VLOOKUP(A1420,收盤價!A:C,3,0)</f>
        <v>446</v>
      </c>
      <c r="E1420" s="187">
        <v>-2.4070021881838075E-2</v>
      </c>
      <c r="F1420">
        <v>10.41</v>
      </c>
    </row>
    <row r="1421" spans="1:6">
      <c r="A1421">
        <v>2543</v>
      </c>
      <c r="B1421" t="s">
        <v>963</v>
      </c>
      <c r="C1421">
        <v>8.4499999999999993</v>
      </c>
      <c r="D1421">
        <f>VLOOKUP(A1421,收盤價!A:C,3,0)</f>
        <v>8.23</v>
      </c>
      <c r="E1421" s="187">
        <v>-2.6035502958579749E-2</v>
      </c>
      <c r="F1421">
        <v>10.35</v>
      </c>
    </row>
    <row r="1422" spans="1:6">
      <c r="A1422">
        <v>6172</v>
      </c>
      <c r="B1422" t="s">
        <v>1282</v>
      </c>
      <c r="C1422">
        <v>5.34</v>
      </c>
      <c r="D1422">
        <f>VLOOKUP(A1422,收盤價!A:C,3,0)</f>
        <v>5.2</v>
      </c>
      <c r="E1422" s="187">
        <v>-2.6217228464419415E-2</v>
      </c>
      <c r="F1422">
        <v>10.28</v>
      </c>
    </row>
    <row r="1423" spans="1:6">
      <c r="A1423">
        <v>2020</v>
      </c>
      <c r="B1423" t="s">
        <v>760</v>
      </c>
      <c r="C1423">
        <v>13.25</v>
      </c>
      <c r="D1423">
        <f>VLOOKUP(A1423,收盤價!A:C,3,0)</f>
        <v>12.9</v>
      </c>
      <c r="E1423" s="187">
        <v>-2.6415094339622615E-2</v>
      </c>
      <c r="F1423">
        <v>10.220000000000001</v>
      </c>
    </row>
    <row r="1424" spans="1:6">
      <c r="A1424">
        <v>2901</v>
      </c>
      <c r="B1424" t="s">
        <v>1034</v>
      </c>
      <c r="C1424">
        <v>27.25</v>
      </c>
      <c r="D1424">
        <f>VLOOKUP(A1424,收盤價!A:C,3,0)</f>
        <v>26.5</v>
      </c>
      <c r="E1424" s="187">
        <v>-2.7522935779816515E-2</v>
      </c>
      <c r="F1424">
        <v>10.16</v>
      </c>
    </row>
    <row r="1425" spans="1:6">
      <c r="A1425">
        <v>8935</v>
      </c>
      <c r="B1425" t="s">
        <v>533</v>
      </c>
      <c r="C1425">
        <v>6.35</v>
      </c>
      <c r="D1425">
        <f>VLOOKUP(A1425,收盤價!A:C,3,0)</f>
        <v>6.17</v>
      </c>
      <c r="E1425" s="187">
        <v>-2.8346456692913344E-2</v>
      </c>
      <c r="F1425">
        <v>10.09</v>
      </c>
    </row>
    <row r="1426" spans="1:6">
      <c r="A1426">
        <v>8928</v>
      </c>
      <c r="B1426" t="s">
        <v>530</v>
      </c>
      <c r="C1426">
        <v>42.3</v>
      </c>
      <c r="D1426">
        <f>VLOOKUP(A1426,收盤價!A:C,3,0)</f>
        <v>41.1</v>
      </c>
      <c r="E1426" s="187">
        <v>-2.8368794326241037E-2</v>
      </c>
      <c r="F1426">
        <v>10.029999999999999</v>
      </c>
    </row>
    <row r="1427" spans="1:6">
      <c r="A1427">
        <v>3454</v>
      </c>
      <c r="B1427" t="s">
        <v>1131</v>
      </c>
      <c r="C1427">
        <v>78</v>
      </c>
      <c r="D1427">
        <f>VLOOKUP(A1427,收盤價!A:C,3,0)</f>
        <v>75.7</v>
      </c>
      <c r="E1427" s="187">
        <v>-2.9487179487179452E-2</v>
      </c>
      <c r="F1427">
        <v>9.9700000000000006</v>
      </c>
    </row>
    <row r="1428" spans="1:6">
      <c r="A1428">
        <v>3191</v>
      </c>
      <c r="B1428" t="s">
        <v>1486</v>
      </c>
      <c r="C1428">
        <v>15</v>
      </c>
      <c r="D1428">
        <f>VLOOKUP(A1428,收盤價!A:C,3,0)</f>
        <v>14.55</v>
      </c>
      <c r="E1428" s="187">
        <v>-2.9999999999999954E-2</v>
      </c>
      <c r="F1428">
        <v>9.91</v>
      </c>
    </row>
    <row r="1429" spans="1:6">
      <c r="A1429">
        <v>2596</v>
      </c>
      <c r="B1429" t="s">
        <v>1457</v>
      </c>
      <c r="C1429">
        <v>12.9</v>
      </c>
      <c r="D1429">
        <f>VLOOKUP(A1429,收盤價!A:C,3,0)</f>
        <v>12.5</v>
      </c>
      <c r="E1429" s="187">
        <v>-3.1007751937984523E-2</v>
      </c>
      <c r="F1429">
        <v>9.84</v>
      </c>
    </row>
    <row r="1430" spans="1:6">
      <c r="A1430">
        <v>5381</v>
      </c>
      <c r="B1430" t="s">
        <v>1668</v>
      </c>
      <c r="C1430">
        <v>1.58</v>
      </c>
      <c r="D1430">
        <f>VLOOKUP(A1430,收盤價!A:C,3,0)</f>
        <v>1.53</v>
      </c>
      <c r="E1430" s="187">
        <v>-3.1645569620253194E-2</v>
      </c>
      <c r="F1430">
        <v>9.7799999999999994</v>
      </c>
    </row>
    <row r="1431" spans="1:6">
      <c r="A1431">
        <v>1805</v>
      </c>
      <c r="B1431" t="s">
        <v>736</v>
      </c>
      <c r="C1431">
        <v>7.8</v>
      </c>
      <c r="D1431">
        <f>VLOOKUP(A1431,收盤價!A:C,3,0)</f>
        <v>7.55</v>
      </c>
      <c r="E1431" s="187">
        <v>-3.2051282051282055E-2</v>
      </c>
      <c r="F1431">
        <v>9.7200000000000006</v>
      </c>
    </row>
    <row r="1432" spans="1:6">
      <c r="A1432">
        <v>1468</v>
      </c>
      <c r="B1432" t="s">
        <v>637</v>
      </c>
      <c r="C1432">
        <v>9.5399999999999991</v>
      </c>
      <c r="D1432">
        <f>VLOOKUP(A1432,收盤價!A:C,3,0)</f>
        <v>9.23</v>
      </c>
      <c r="E1432" s="187">
        <v>-3.2494758909853115E-2</v>
      </c>
      <c r="F1432">
        <v>9.65</v>
      </c>
    </row>
    <row r="1433" spans="1:6">
      <c r="A1433">
        <v>2029</v>
      </c>
      <c r="B1433" t="s">
        <v>767</v>
      </c>
      <c r="C1433">
        <v>16.850000000000001</v>
      </c>
      <c r="D1433">
        <f>VLOOKUP(A1433,收盤價!A:C,3,0)</f>
        <v>16.25</v>
      </c>
      <c r="E1433" s="187">
        <v>-3.5608308605341331E-2</v>
      </c>
      <c r="F1433">
        <v>9.59</v>
      </c>
    </row>
    <row r="1434" spans="1:6">
      <c r="A1434">
        <v>2450</v>
      </c>
      <c r="B1434" t="s">
        <v>901</v>
      </c>
      <c r="C1434">
        <v>41.7</v>
      </c>
      <c r="D1434">
        <f>VLOOKUP(A1434,收盤價!A:C,3,0)</f>
        <v>40.200000000000003</v>
      </c>
      <c r="E1434" s="187">
        <v>-3.5971223021582732E-2</v>
      </c>
      <c r="F1434">
        <v>9.5299999999999994</v>
      </c>
    </row>
    <row r="1435" spans="1:6">
      <c r="A1435">
        <v>8906</v>
      </c>
      <c r="B1435" t="s">
        <v>1838</v>
      </c>
      <c r="C1435">
        <v>7.28</v>
      </c>
      <c r="D1435">
        <f>VLOOKUP(A1435,收盤價!A:C,3,0)</f>
        <v>7.01</v>
      </c>
      <c r="E1435" s="187">
        <v>-3.708791208791215E-2</v>
      </c>
      <c r="F1435">
        <v>9.4600000000000009</v>
      </c>
    </row>
    <row r="1436" spans="1:6">
      <c r="A1436">
        <v>3609</v>
      </c>
      <c r="B1436" t="s">
        <v>350</v>
      </c>
      <c r="C1436">
        <v>13.4</v>
      </c>
      <c r="D1436">
        <f>VLOOKUP(A1436,收盤價!A:C,3,0)</f>
        <v>12.9</v>
      </c>
      <c r="E1436" s="187">
        <v>-3.7313432835820892E-2</v>
      </c>
      <c r="F1436">
        <v>9.4</v>
      </c>
    </row>
    <row r="1437" spans="1:6">
      <c r="A1437">
        <v>6154</v>
      </c>
      <c r="B1437" t="s">
        <v>458</v>
      </c>
      <c r="C1437">
        <v>17.399999999999999</v>
      </c>
      <c r="D1437">
        <f>VLOOKUP(A1437,收盤價!A:C,3,0)</f>
        <v>16.75</v>
      </c>
      <c r="E1437" s="187">
        <v>-3.7356321839080379E-2</v>
      </c>
      <c r="F1437">
        <v>9.34</v>
      </c>
    </row>
    <row r="1438" spans="1:6">
      <c r="A1438">
        <v>1419</v>
      </c>
      <c r="B1438" t="s">
        <v>605</v>
      </c>
      <c r="C1438">
        <v>37.4</v>
      </c>
      <c r="D1438">
        <f>VLOOKUP(A1438,收盤價!A:C,3,0)</f>
        <v>36</v>
      </c>
      <c r="E1438" s="187">
        <v>-3.7433155080213866E-2</v>
      </c>
      <c r="F1438">
        <v>9.27</v>
      </c>
    </row>
    <row r="1439" spans="1:6">
      <c r="A1439">
        <v>2514</v>
      </c>
      <c r="B1439" t="s">
        <v>947</v>
      </c>
      <c r="C1439">
        <v>21.3</v>
      </c>
      <c r="D1439">
        <f>VLOOKUP(A1439,收盤價!A:C,3,0)</f>
        <v>20.5</v>
      </c>
      <c r="E1439" s="187">
        <v>-3.7558685446009425E-2</v>
      </c>
      <c r="F1439">
        <v>9.2100000000000009</v>
      </c>
    </row>
    <row r="1440" spans="1:6">
      <c r="A1440">
        <v>1539</v>
      </c>
      <c r="B1440" t="s">
        <v>674</v>
      </c>
      <c r="C1440">
        <v>36.299999999999997</v>
      </c>
      <c r="D1440">
        <f>VLOOKUP(A1440,收盤價!A:C,3,0)</f>
        <v>34.9</v>
      </c>
      <c r="E1440" s="187">
        <v>-3.8567493112947625E-2</v>
      </c>
      <c r="F1440">
        <v>9.15</v>
      </c>
    </row>
    <row r="1441" spans="1:6">
      <c r="A1441">
        <v>5356</v>
      </c>
      <c r="B1441" t="s">
        <v>1667</v>
      </c>
      <c r="C1441">
        <v>40.700000000000003</v>
      </c>
      <c r="D1441">
        <f>VLOOKUP(A1441,收盤價!A:C,3,0)</f>
        <v>39.049999999999997</v>
      </c>
      <c r="E1441" s="187">
        <v>-4.0540540540540675E-2</v>
      </c>
      <c r="F1441">
        <v>9.09</v>
      </c>
    </row>
    <row r="1442" spans="1:6">
      <c r="A1442">
        <v>2527</v>
      </c>
      <c r="B1442" t="s">
        <v>952</v>
      </c>
      <c r="C1442">
        <v>17</v>
      </c>
      <c r="D1442">
        <f>VLOOKUP(A1442,收盤價!A:C,3,0)</f>
        <v>16.3</v>
      </c>
      <c r="E1442" s="187">
        <v>-4.1176470588235252E-2</v>
      </c>
      <c r="F1442">
        <v>9.02</v>
      </c>
    </row>
    <row r="1443" spans="1:6">
      <c r="A1443">
        <v>3252</v>
      </c>
      <c r="B1443" t="s">
        <v>307</v>
      </c>
      <c r="C1443">
        <v>21.7</v>
      </c>
      <c r="D1443">
        <f>VLOOKUP(A1443,收盤價!A:C,3,0)</f>
        <v>20.8</v>
      </c>
      <c r="E1443" s="187">
        <v>-4.1474654377880123E-2</v>
      </c>
      <c r="F1443">
        <v>8.9600000000000009</v>
      </c>
    </row>
    <row r="1444" spans="1:6">
      <c r="A1444">
        <v>912398</v>
      </c>
      <c r="B1444" t="s">
        <v>1394</v>
      </c>
      <c r="C1444">
        <v>8.3000000000000007</v>
      </c>
      <c r="D1444">
        <f>VLOOKUP(A1444,收盤價!A:C,3,0)</f>
        <v>7.95</v>
      </c>
      <c r="E1444" s="187">
        <v>-4.216867469879524E-2</v>
      </c>
      <c r="F1444">
        <v>8.9</v>
      </c>
    </row>
    <row r="1445" spans="1:6">
      <c r="A1445">
        <v>9949</v>
      </c>
      <c r="B1445" t="s">
        <v>536</v>
      </c>
      <c r="C1445">
        <v>14.5</v>
      </c>
      <c r="D1445">
        <f>VLOOKUP(A1445,收盤價!A:C,3,0)</f>
        <v>13.85</v>
      </c>
      <c r="E1445" s="187">
        <v>-4.4827586206896579E-2</v>
      </c>
      <c r="F1445">
        <v>8.83</v>
      </c>
    </row>
    <row r="1446" spans="1:6">
      <c r="A1446">
        <v>3701</v>
      </c>
      <c r="B1446" t="s">
        <v>1175</v>
      </c>
      <c r="C1446">
        <v>8.89</v>
      </c>
      <c r="D1446">
        <f>VLOOKUP(A1446,收盤價!A:C,3,0)</f>
        <v>8.49</v>
      </c>
      <c r="E1446" s="187">
        <v>-4.4994375703037159E-2</v>
      </c>
      <c r="F1446">
        <v>8.77</v>
      </c>
    </row>
    <row r="1447" spans="1:6">
      <c r="A1447">
        <v>5903</v>
      </c>
      <c r="B1447" t="s">
        <v>1702</v>
      </c>
      <c r="C1447">
        <v>217</v>
      </c>
      <c r="D1447">
        <f>VLOOKUP(A1447,收盤價!A:C,3,0)</f>
        <v>207</v>
      </c>
      <c r="E1447" s="187">
        <v>-4.6082949308755762E-2</v>
      </c>
      <c r="F1447">
        <v>8.7100000000000009</v>
      </c>
    </row>
    <row r="1448" spans="1:6">
      <c r="A1448">
        <v>2385</v>
      </c>
      <c r="B1448" t="s">
        <v>855</v>
      </c>
      <c r="C1448">
        <v>77.900000000000006</v>
      </c>
      <c r="D1448">
        <f>VLOOKUP(A1448,收盤價!A:C,3,0)</f>
        <v>74.2</v>
      </c>
      <c r="E1448" s="187">
        <v>-4.7496790757381294E-2</v>
      </c>
      <c r="F1448">
        <v>8.64</v>
      </c>
    </row>
    <row r="1449" spans="1:6">
      <c r="A1449">
        <v>2035</v>
      </c>
      <c r="B1449" t="s">
        <v>1454</v>
      </c>
      <c r="C1449">
        <v>48.3</v>
      </c>
      <c r="D1449">
        <f>VLOOKUP(A1449,收盤價!A:C,3,0)</f>
        <v>46</v>
      </c>
      <c r="E1449" s="187">
        <v>-4.7619047619047561E-2</v>
      </c>
      <c r="F1449">
        <v>8.58</v>
      </c>
    </row>
    <row r="1450" spans="1:6">
      <c r="A1450">
        <v>3207</v>
      </c>
      <c r="B1450" t="s">
        <v>299</v>
      </c>
      <c r="C1450">
        <v>7.98</v>
      </c>
      <c r="D1450">
        <f>VLOOKUP(A1450,收盤價!A:C,3,0)</f>
        <v>7.6</v>
      </c>
      <c r="E1450" s="187">
        <v>-4.7619047619047714E-2</v>
      </c>
      <c r="F1450">
        <v>8.52</v>
      </c>
    </row>
    <row r="1451" spans="1:6">
      <c r="A1451">
        <v>8101</v>
      </c>
      <c r="B1451" t="s">
        <v>1346</v>
      </c>
      <c r="C1451">
        <v>8.5500000000000007</v>
      </c>
      <c r="D1451">
        <f>VLOOKUP(A1451,收盤價!A:C,3,0)</f>
        <v>8.14</v>
      </c>
      <c r="E1451" s="187">
        <v>-4.7953216374269018E-2</v>
      </c>
      <c r="F1451">
        <v>8.4499999999999993</v>
      </c>
    </row>
    <row r="1452" spans="1:6">
      <c r="A1452">
        <v>1906</v>
      </c>
      <c r="B1452" t="s">
        <v>745</v>
      </c>
      <c r="C1452">
        <v>7.85</v>
      </c>
      <c r="D1452">
        <f>VLOOKUP(A1452,收盤價!A:C,3,0)</f>
        <v>7.47</v>
      </c>
      <c r="E1452" s="187">
        <v>-4.84076433121019E-2</v>
      </c>
      <c r="F1452">
        <v>8.39</v>
      </c>
    </row>
    <row r="1453" spans="1:6">
      <c r="A1453">
        <v>1516</v>
      </c>
      <c r="B1453" t="s">
        <v>655</v>
      </c>
      <c r="C1453">
        <v>21.6</v>
      </c>
      <c r="D1453">
        <f>VLOOKUP(A1453,收盤價!A:C,3,0)</f>
        <v>20.5</v>
      </c>
      <c r="E1453" s="187">
        <v>-5.0925925925925986E-2</v>
      </c>
      <c r="F1453">
        <v>8.33</v>
      </c>
    </row>
    <row r="1454" spans="1:6">
      <c r="A1454">
        <v>6225</v>
      </c>
      <c r="B1454" t="s">
        <v>1302</v>
      </c>
      <c r="C1454">
        <v>3.86</v>
      </c>
      <c r="D1454">
        <f>VLOOKUP(A1454,收盤價!A:C,3,0)</f>
        <v>3.66</v>
      </c>
      <c r="E1454" s="187">
        <v>-5.1813471502590608E-2</v>
      </c>
      <c r="F1454">
        <v>8.26</v>
      </c>
    </row>
    <row r="1455" spans="1:6">
      <c r="A1455">
        <v>3219</v>
      </c>
      <c r="B1455" t="s">
        <v>1492</v>
      </c>
      <c r="C1455">
        <v>10.6</v>
      </c>
      <c r="D1455">
        <f>VLOOKUP(A1455,收盤價!A:C,3,0)</f>
        <v>10.050000000000001</v>
      </c>
      <c r="E1455" s="187">
        <v>-5.1886792452830087E-2</v>
      </c>
      <c r="F1455">
        <v>8.1999999999999993</v>
      </c>
    </row>
    <row r="1456" spans="1:6">
      <c r="A1456">
        <v>1417</v>
      </c>
      <c r="B1456" t="s">
        <v>603</v>
      </c>
      <c r="C1456">
        <v>5.67</v>
      </c>
      <c r="D1456">
        <f>VLOOKUP(A1456,收盤價!A:C,3,0)</f>
        <v>5.37</v>
      </c>
      <c r="E1456" s="187">
        <v>-5.2910052910052879E-2</v>
      </c>
      <c r="F1456">
        <v>8.14</v>
      </c>
    </row>
    <row r="1457" spans="1:6">
      <c r="A1457">
        <v>6174</v>
      </c>
      <c r="B1457" t="s">
        <v>1737</v>
      </c>
      <c r="C1457">
        <v>15</v>
      </c>
      <c r="D1457">
        <f>VLOOKUP(A1457,收盤價!A:C,3,0)</f>
        <v>14.2</v>
      </c>
      <c r="E1457" s="187">
        <v>-5.3333333333333378E-2</v>
      </c>
      <c r="F1457">
        <v>8.08</v>
      </c>
    </row>
    <row r="1458" spans="1:6">
      <c r="A1458">
        <v>2727</v>
      </c>
      <c r="B1458" t="s">
        <v>997</v>
      </c>
      <c r="C1458">
        <v>158.5</v>
      </c>
      <c r="D1458">
        <f>VLOOKUP(A1458,收盤價!A:C,3,0)</f>
        <v>150</v>
      </c>
      <c r="E1458" s="187">
        <v>-5.362776025236593E-2</v>
      </c>
      <c r="F1458">
        <v>8.01</v>
      </c>
    </row>
    <row r="1459" spans="1:6">
      <c r="A1459">
        <v>3363</v>
      </c>
      <c r="B1459" t="s">
        <v>322</v>
      </c>
      <c r="C1459">
        <v>25.9</v>
      </c>
      <c r="D1459">
        <f>VLOOKUP(A1459,收盤價!A:C,3,0)</f>
        <v>24.5</v>
      </c>
      <c r="E1459" s="187">
        <v>-5.4054054054054002E-2</v>
      </c>
      <c r="F1459">
        <v>7.95</v>
      </c>
    </row>
    <row r="1460" spans="1:6">
      <c r="A1460">
        <v>2475</v>
      </c>
      <c r="B1460" t="s">
        <v>920</v>
      </c>
      <c r="C1460">
        <v>0.74</v>
      </c>
      <c r="D1460">
        <f>VLOOKUP(A1460,收盤價!A:C,3,0)</f>
        <v>0.7</v>
      </c>
      <c r="E1460" s="187">
        <v>-5.4054054054054106E-2</v>
      </c>
      <c r="F1460">
        <v>7.89</v>
      </c>
    </row>
    <row r="1461" spans="1:6">
      <c r="A1461">
        <v>3536</v>
      </c>
      <c r="B1461" t="s">
        <v>1144</v>
      </c>
      <c r="C1461">
        <v>6.93</v>
      </c>
      <c r="D1461">
        <f>VLOOKUP(A1461,收盤價!A:C,3,0)</f>
        <v>6.55</v>
      </c>
      <c r="E1461" s="187">
        <v>-5.4834054834054818E-2</v>
      </c>
      <c r="F1461">
        <v>7.82</v>
      </c>
    </row>
    <row r="1462" spans="1:6">
      <c r="A1462">
        <v>8059</v>
      </c>
      <c r="B1462" t="s">
        <v>1790</v>
      </c>
      <c r="C1462">
        <v>11.75</v>
      </c>
      <c r="D1462">
        <f>VLOOKUP(A1462,收盤價!A:C,3,0)</f>
        <v>11.1</v>
      </c>
      <c r="E1462" s="187">
        <v>-5.5319148936170244E-2</v>
      </c>
      <c r="F1462">
        <v>7.76</v>
      </c>
    </row>
    <row r="1463" spans="1:6">
      <c r="A1463">
        <v>3128</v>
      </c>
      <c r="B1463" t="s">
        <v>1480</v>
      </c>
      <c r="C1463">
        <v>13.45</v>
      </c>
      <c r="D1463">
        <f>VLOOKUP(A1463,收盤價!A:C,3,0)</f>
        <v>12.7</v>
      </c>
      <c r="E1463" s="187">
        <v>-5.5762081784386623E-2</v>
      </c>
      <c r="F1463">
        <v>7.7</v>
      </c>
    </row>
    <row r="1464" spans="1:6">
      <c r="A1464">
        <v>6113</v>
      </c>
      <c r="B1464" t="s">
        <v>1715</v>
      </c>
      <c r="C1464">
        <v>8.7799999999999994</v>
      </c>
      <c r="D1464">
        <f>VLOOKUP(A1464,收盤價!A:C,3,0)</f>
        <v>8.27</v>
      </c>
      <c r="E1464" s="187">
        <v>-5.8086560364464669E-2</v>
      </c>
      <c r="F1464">
        <v>7.63</v>
      </c>
    </row>
    <row r="1465" spans="1:6">
      <c r="A1465">
        <v>5468</v>
      </c>
      <c r="B1465" t="s">
        <v>438</v>
      </c>
      <c r="C1465">
        <v>7.54</v>
      </c>
      <c r="D1465">
        <f>VLOOKUP(A1465,收盤價!A:C,3,0)</f>
        <v>7.09</v>
      </c>
      <c r="E1465" s="187">
        <v>-5.9681697612732121E-2</v>
      </c>
      <c r="F1465">
        <v>7.57</v>
      </c>
    </row>
    <row r="1466" spans="1:6">
      <c r="A1466">
        <v>8941</v>
      </c>
      <c r="B1466" t="s">
        <v>535</v>
      </c>
      <c r="C1466">
        <v>96.8</v>
      </c>
      <c r="D1466">
        <f>VLOOKUP(A1466,收盤價!A:C,3,0)</f>
        <v>91</v>
      </c>
      <c r="E1466" s="187">
        <v>-5.99173553719008E-2</v>
      </c>
      <c r="F1466">
        <v>7.51</v>
      </c>
    </row>
    <row r="1467" spans="1:6">
      <c r="A1467">
        <v>2609</v>
      </c>
      <c r="B1467" t="s">
        <v>975</v>
      </c>
      <c r="C1467">
        <v>9.1999999999999993</v>
      </c>
      <c r="D1467">
        <f>VLOOKUP(A1467,收盤價!A:C,3,0)</f>
        <v>8.64</v>
      </c>
      <c r="E1467" s="187">
        <v>-6.0869565217391168E-2</v>
      </c>
      <c r="F1467">
        <v>7.44</v>
      </c>
    </row>
    <row r="1468" spans="1:6">
      <c r="A1468">
        <v>1309</v>
      </c>
      <c r="B1468" t="s">
        <v>579</v>
      </c>
      <c r="C1468">
        <v>8.1199999999999992</v>
      </c>
      <c r="D1468">
        <f>VLOOKUP(A1468,收盤價!A:C,3,0)</f>
        <v>7.62</v>
      </c>
      <c r="E1468" s="187">
        <v>-6.1576354679802853E-2</v>
      </c>
      <c r="F1468">
        <v>7.38</v>
      </c>
    </row>
    <row r="1469" spans="1:6">
      <c r="A1469">
        <v>9927</v>
      </c>
      <c r="B1469" t="s">
        <v>1417</v>
      </c>
      <c r="C1469">
        <v>29.25</v>
      </c>
      <c r="D1469">
        <f>VLOOKUP(A1469,收盤價!A:C,3,0)</f>
        <v>27.35</v>
      </c>
      <c r="E1469" s="187">
        <v>-6.4957264957264907E-2</v>
      </c>
      <c r="F1469">
        <v>7.32</v>
      </c>
    </row>
    <row r="1470" spans="1:6">
      <c r="A1470">
        <v>9960</v>
      </c>
      <c r="B1470" t="s">
        <v>537</v>
      </c>
      <c r="C1470">
        <v>20</v>
      </c>
      <c r="D1470">
        <f>VLOOKUP(A1470,收盤價!A:C,3,0)</f>
        <v>18.7</v>
      </c>
      <c r="E1470" s="187">
        <v>-6.500000000000003E-2</v>
      </c>
      <c r="F1470">
        <v>7.26</v>
      </c>
    </row>
    <row r="1471" spans="1:6">
      <c r="A1471">
        <v>1455</v>
      </c>
      <c r="B1471" t="s">
        <v>627</v>
      </c>
      <c r="C1471">
        <v>9</v>
      </c>
      <c r="D1471">
        <f>VLOOKUP(A1471,收盤價!A:C,3,0)</f>
        <v>8.41</v>
      </c>
      <c r="E1471" s="187">
        <v>-6.5555555555555534E-2</v>
      </c>
      <c r="F1471">
        <v>7.19</v>
      </c>
    </row>
    <row r="1472" spans="1:6">
      <c r="A1472">
        <v>4433</v>
      </c>
      <c r="B1472" t="s">
        <v>1599</v>
      </c>
      <c r="C1472">
        <v>41.35</v>
      </c>
      <c r="D1472">
        <f>VLOOKUP(A1472,收盤價!A:C,3,0)</f>
        <v>38.6</v>
      </c>
      <c r="E1472" s="187">
        <v>-6.6505441354292621E-2</v>
      </c>
      <c r="F1472">
        <v>7.13</v>
      </c>
    </row>
    <row r="1473" spans="1:6">
      <c r="A1473">
        <v>2067</v>
      </c>
      <c r="B1473" t="s">
        <v>1455</v>
      </c>
      <c r="C1473">
        <v>16</v>
      </c>
      <c r="D1473">
        <f>VLOOKUP(A1473,收盤價!A:C,3,0)</f>
        <v>14.85</v>
      </c>
      <c r="E1473" s="187">
        <v>-7.1875000000000022E-2</v>
      </c>
      <c r="F1473">
        <v>7.07</v>
      </c>
    </row>
    <row r="1474" spans="1:6">
      <c r="A1474">
        <v>4924</v>
      </c>
      <c r="B1474" t="s">
        <v>1626</v>
      </c>
      <c r="C1474">
        <v>7.17</v>
      </c>
      <c r="D1474">
        <f>VLOOKUP(A1474,收盤價!A:C,3,0)</f>
        <v>6.65</v>
      </c>
      <c r="E1474" s="187">
        <v>-7.2524407252440665E-2</v>
      </c>
      <c r="F1474">
        <v>7</v>
      </c>
    </row>
    <row r="1475" spans="1:6">
      <c r="A1475">
        <v>5902</v>
      </c>
      <c r="B1475" t="s">
        <v>449</v>
      </c>
      <c r="C1475">
        <v>10.3</v>
      </c>
      <c r="D1475">
        <f>VLOOKUP(A1475,收盤價!A:C,3,0)</f>
        <v>9.5500000000000007</v>
      </c>
      <c r="E1475" s="187">
        <v>-7.281553398058252E-2</v>
      </c>
      <c r="F1475">
        <v>6.94</v>
      </c>
    </row>
    <row r="1476" spans="1:6">
      <c r="A1476">
        <v>1234</v>
      </c>
      <c r="B1476" t="s">
        <v>569</v>
      </c>
      <c r="C1476">
        <v>34.5</v>
      </c>
      <c r="D1476">
        <f>VLOOKUP(A1476,收盤價!A:C,3,0)</f>
        <v>31.9</v>
      </c>
      <c r="E1476" s="187">
        <v>-7.5362318840579756E-2</v>
      </c>
      <c r="F1476">
        <v>6.88</v>
      </c>
    </row>
    <row r="1477" spans="1:6">
      <c r="A1477">
        <v>4406</v>
      </c>
      <c r="B1477" t="s">
        <v>1591</v>
      </c>
      <c r="C1477">
        <v>13.15</v>
      </c>
      <c r="D1477">
        <f>VLOOKUP(A1477,收盤價!A:C,3,0)</f>
        <v>12.1</v>
      </c>
      <c r="E1477" s="187">
        <v>-7.9847908745247206E-2</v>
      </c>
      <c r="F1477">
        <v>6.81</v>
      </c>
    </row>
    <row r="1478" spans="1:6">
      <c r="A1478">
        <v>6248</v>
      </c>
      <c r="B1478" t="s">
        <v>485</v>
      </c>
      <c r="C1478">
        <v>25</v>
      </c>
      <c r="D1478">
        <f>VLOOKUP(A1478,收盤價!A:C,3,0)</f>
        <v>23</v>
      </c>
      <c r="E1478" s="187">
        <v>-0.08</v>
      </c>
      <c r="F1478">
        <v>6.75</v>
      </c>
    </row>
    <row r="1479" spans="1:6">
      <c r="A1479">
        <v>5310</v>
      </c>
      <c r="B1479" t="s">
        <v>1656</v>
      </c>
      <c r="C1479">
        <v>29.2</v>
      </c>
      <c r="D1479">
        <f>VLOOKUP(A1479,收盤價!A:C,3,0)</f>
        <v>26.7</v>
      </c>
      <c r="E1479" s="187">
        <v>-8.5616438356164379E-2</v>
      </c>
      <c r="F1479">
        <v>6.69</v>
      </c>
    </row>
    <row r="1480" spans="1:6">
      <c r="A1480">
        <v>3523</v>
      </c>
      <c r="B1480" t="s">
        <v>1531</v>
      </c>
      <c r="C1480">
        <v>25.3</v>
      </c>
      <c r="D1480">
        <f>VLOOKUP(A1480,收盤價!A:C,3,0)</f>
        <v>23.1</v>
      </c>
      <c r="E1480" s="187">
        <v>-8.6956521739130405E-2</v>
      </c>
      <c r="F1480">
        <v>6.62</v>
      </c>
    </row>
    <row r="1481" spans="1:6">
      <c r="A1481">
        <v>2408</v>
      </c>
      <c r="B1481" t="s">
        <v>869</v>
      </c>
      <c r="C1481">
        <v>39.9</v>
      </c>
      <c r="D1481">
        <f>VLOOKUP(A1481,收盤價!A:C,3,0)</f>
        <v>36.4</v>
      </c>
      <c r="E1481" s="187">
        <v>-8.7719298245614044E-2</v>
      </c>
      <c r="F1481">
        <v>6.56</v>
      </c>
    </row>
    <row r="1482" spans="1:6">
      <c r="A1482">
        <v>5465</v>
      </c>
      <c r="B1482" t="s">
        <v>437</v>
      </c>
      <c r="C1482">
        <v>11.35</v>
      </c>
      <c r="D1482">
        <f>VLOOKUP(A1482,收盤價!A:C,3,0)</f>
        <v>10.35</v>
      </c>
      <c r="E1482" s="187">
        <v>-8.8105726872246701E-2</v>
      </c>
      <c r="F1482">
        <v>6.5</v>
      </c>
    </row>
    <row r="1483" spans="1:6">
      <c r="A1483">
        <v>4401</v>
      </c>
      <c r="B1483" t="s">
        <v>1590</v>
      </c>
      <c r="C1483">
        <v>108.5</v>
      </c>
      <c r="D1483">
        <f>VLOOKUP(A1483,收盤價!A:C,3,0)</f>
        <v>98.8</v>
      </c>
      <c r="E1483" s="187">
        <v>-8.9400921658986207E-2</v>
      </c>
      <c r="F1483">
        <v>6.44</v>
      </c>
    </row>
    <row r="1484" spans="1:6">
      <c r="A1484">
        <v>9933</v>
      </c>
      <c r="B1484" t="s">
        <v>1422</v>
      </c>
      <c r="C1484">
        <v>39.700000000000003</v>
      </c>
      <c r="D1484">
        <f>VLOOKUP(A1484,收盤價!A:C,3,0)</f>
        <v>36.15</v>
      </c>
      <c r="E1484" s="187">
        <v>-8.9420654911838898E-2</v>
      </c>
      <c r="F1484">
        <v>6.37</v>
      </c>
    </row>
    <row r="1485" spans="1:6">
      <c r="A1485">
        <v>8067</v>
      </c>
      <c r="B1485" t="s">
        <v>1792</v>
      </c>
      <c r="C1485">
        <v>5.43</v>
      </c>
      <c r="D1485">
        <f>VLOOKUP(A1485,收盤價!A:C,3,0)</f>
        <v>4.9400000000000004</v>
      </c>
      <c r="E1485" s="187">
        <v>-9.0239410681399512E-2</v>
      </c>
      <c r="F1485">
        <v>6.31</v>
      </c>
    </row>
    <row r="1486" spans="1:6">
      <c r="A1486">
        <v>3312</v>
      </c>
      <c r="B1486" t="s">
        <v>1116</v>
      </c>
      <c r="C1486">
        <v>7.38</v>
      </c>
      <c r="D1486">
        <f>VLOOKUP(A1486,收盤價!A:C,3,0)</f>
        <v>6.67</v>
      </c>
      <c r="E1486" s="187">
        <v>-9.6205962059620592E-2</v>
      </c>
      <c r="F1486">
        <v>6.25</v>
      </c>
    </row>
    <row r="1487" spans="1:6">
      <c r="A1487">
        <v>2342</v>
      </c>
      <c r="B1487" t="s">
        <v>821</v>
      </c>
      <c r="C1487">
        <v>2.79</v>
      </c>
      <c r="D1487">
        <f>VLOOKUP(A1487,收盤價!A:C,3,0)</f>
        <v>2.52</v>
      </c>
      <c r="E1487" s="187">
        <v>-9.6774193548387108E-2</v>
      </c>
      <c r="F1487">
        <v>6.18</v>
      </c>
    </row>
    <row r="1488" spans="1:6">
      <c r="A1488">
        <v>2354</v>
      </c>
      <c r="B1488" t="s">
        <v>830</v>
      </c>
      <c r="C1488">
        <v>84.7</v>
      </c>
      <c r="D1488">
        <f>VLOOKUP(A1488,收盤價!A:C,3,0)</f>
        <v>76.3</v>
      </c>
      <c r="E1488" s="187">
        <v>-9.9173553719008323E-2</v>
      </c>
      <c r="F1488">
        <v>6.12</v>
      </c>
    </row>
    <row r="1489" spans="1:6">
      <c r="A1489">
        <v>3089</v>
      </c>
      <c r="B1489" t="s">
        <v>288</v>
      </c>
      <c r="C1489">
        <v>22.95</v>
      </c>
      <c r="D1489">
        <f>VLOOKUP(A1489,收盤價!A:C,3,0)</f>
        <v>20.6</v>
      </c>
      <c r="E1489" s="187">
        <v>-0.10239651416121995</v>
      </c>
      <c r="F1489">
        <v>6.06</v>
      </c>
    </row>
    <row r="1490" spans="1:6">
      <c r="A1490">
        <v>3002</v>
      </c>
      <c r="B1490" t="s">
        <v>1047</v>
      </c>
      <c r="C1490">
        <v>11.5</v>
      </c>
      <c r="D1490">
        <f>VLOOKUP(A1490,收盤價!A:C,3,0)</f>
        <v>10.3</v>
      </c>
      <c r="E1490" s="187">
        <v>-0.10434782608695646</v>
      </c>
      <c r="F1490">
        <v>5.99</v>
      </c>
    </row>
    <row r="1491" spans="1:6">
      <c r="A1491">
        <v>1102</v>
      </c>
      <c r="B1491" t="s">
        <v>548</v>
      </c>
      <c r="C1491">
        <v>32.299999999999997</v>
      </c>
      <c r="D1491">
        <f>VLOOKUP(A1491,收盤價!A:C,3,0)</f>
        <v>28.8</v>
      </c>
      <c r="E1491" s="187">
        <v>-0.10835913312693489</v>
      </c>
      <c r="F1491">
        <v>5.93</v>
      </c>
    </row>
    <row r="1492" spans="1:6">
      <c r="A1492">
        <v>3310</v>
      </c>
      <c r="B1492" t="s">
        <v>1506</v>
      </c>
      <c r="C1492">
        <v>14.6</v>
      </c>
      <c r="D1492">
        <f>VLOOKUP(A1492,收盤價!A:C,3,0)</f>
        <v>13</v>
      </c>
      <c r="E1492" s="187">
        <v>-0.10958904109589039</v>
      </c>
      <c r="F1492">
        <v>5.87</v>
      </c>
    </row>
    <row r="1493" spans="1:6">
      <c r="A1493">
        <v>3685</v>
      </c>
      <c r="B1493" t="s">
        <v>1559</v>
      </c>
      <c r="C1493">
        <v>47.25</v>
      </c>
      <c r="D1493">
        <f>VLOOKUP(A1493,收盤價!A:C,3,0)</f>
        <v>41.5</v>
      </c>
      <c r="E1493" s="187">
        <v>-0.12169312169312169</v>
      </c>
      <c r="F1493">
        <v>5.8</v>
      </c>
    </row>
    <row r="1494" spans="1:6">
      <c r="A1494">
        <v>5255</v>
      </c>
      <c r="B1494" t="s">
        <v>412</v>
      </c>
      <c r="C1494">
        <v>19.75</v>
      </c>
      <c r="D1494">
        <f>VLOOKUP(A1494,收盤價!A:C,3,0)</f>
        <v>17.3</v>
      </c>
      <c r="E1494" s="187">
        <v>-0.12405063291139237</v>
      </c>
      <c r="F1494">
        <v>5.74</v>
      </c>
    </row>
    <row r="1495" spans="1:6">
      <c r="A1495">
        <v>2618</v>
      </c>
      <c r="B1495" t="s">
        <v>984</v>
      </c>
      <c r="C1495">
        <v>20.2</v>
      </c>
      <c r="D1495">
        <f>VLOOKUP(A1495,收盤價!A:C,3,0)</f>
        <v>17.649999999999999</v>
      </c>
      <c r="E1495" s="187">
        <v>-0.12623762376237627</v>
      </c>
      <c r="F1495">
        <v>5.68</v>
      </c>
    </row>
    <row r="1496" spans="1:6">
      <c r="A1496">
        <v>5304</v>
      </c>
      <c r="B1496" t="s">
        <v>419</v>
      </c>
      <c r="C1496">
        <v>3.46</v>
      </c>
      <c r="D1496">
        <f>VLOOKUP(A1496,收盤價!A:C,3,0)</f>
        <v>3.02</v>
      </c>
      <c r="E1496" s="187">
        <v>-0.12716763005780346</v>
      </c>
      <c r="F1496">
        <v>5.62</v>
      </c>
    </row>
    <row r="1497" spans="1:6">
      <c r="A1497">
        <v>2524</v>
      </c>
      <c r="B1497" t="s">
        <v>951</v>
      </c>
      <c r="C1497">
        <v>20.25</v>
      </c>
      <c r="D1497">
        <f>VLOOKUP(A1497,收盤價!A:C,3,0)</f>
        <v>17.649999999999999</v>
      </c>
      <c r="E1497" s="187">
        <v>-0.12839506172839513</v>
      </c>
      <c r="F1497">
        <v>5.55</v>
      </c>
    </row>
    <row r="1498" spans="1:6">
      <c r="A1498">
        <v>1477</v>
      </c>
      <c r="B1498" t="s">
        <v>646</v>
      </c>
      <c r="C1498">
        <v>250</v>
      </c>
      <c r="D1498">
        <f>VLOOKUP(A1498,收盤價!A:C,3,0)</f>
        <v>217.5</v>
      </c>
      <c r="E1498" s="187">
        <v>-0.13</v>
      </c>
      <c r="F1498">
        <v>5.49</v>
      </c>
    </row>
    <row r="1499" spans="1:6">
      <c r="A1499">
        <v>3428</v>
      </c>
      <c r="B1499" t="s">
        <v>327</v>
      </c>
      <c r="C1499">
        <v>50.6</v>
      </c>
      <c r="D1499">
        <f>VLOOKUP(A1499,收盤價!A:C,3,0)</f>
        <v>44</v>
      </c>
      <c r="E1499" s="187">
        <v>-0.13043478260869568</v>
      </c>
      <c r="F1499">
        <v>5.43</v>
      </c>
    </row>
    <row r="1500" spans="1:6">
      <c r="A1500">
        <v>3645</v>
      </c>
      <c r="B1500" t="s">
        <v>1164</v>
      </c>
      <c r="C1500">
        <v>33.450000000000003</v>
      </c>
      <c r="D1500">
        <f>VLOOKUP(A1500,收盤價!A:C,3,0)</f>
        <v>29.05</v>
      </c>
      <c r="E1500" s="187">
        <v>-0.13153961136023923</v>
      </c>
      <c r="F1500">
        <v>5.36</v>
      </c>
    </row>
    <row r="1501" spans="1:6">
      <c r="A1501">
        <v>3056</v>
      </c>
      <c r="B1501" t="s">
        <v>1094</v>
      </c>
      <c r="C1501">
        <v>15</v>
      </c>
      <c r="D1501">
        <f>VLOOKUP(A1501,收盤價!A:C,3,0)</f>
        <v>13</v>
      </c>
      <c r="E1501" s="187">
        <v>-0.13333333333333333</v>
      </c>
      <c r="F1501">
        <v>5.3</v>
      </c>
    </row>
    <row r="1502" spans="1:6">
      <c r="A1502">
        <v>4907</v>
      </c>
      <c r="B1502" t="s">
        <v>1624</v>
      </c>
      <c r="C1502">
        <v>12.7</v>
      </c>
      <c r="D1502">
        <f>VLOOKUP(A1502,收盤價!A:C,3,0)</f>
        <v>11</v>
      </c>
      <c r="E1502" s="187">
        <v>-0.13385826771653539</v>
      </c>
      <c r="F1502">
        <v>5.24</v>
      </c>
    </row>
    <row r="1503" spans="1:6">
      <c r="A1503">
        <v>8291</v>
      </c>
      <c r="B1503" t="s">
        <v>1821</v>
      </c>
      <c r="C1503">
        <v>5.78</v>
      </c>
      <c r="D1503">
        <f>VLOOKUP(A1503,收盤價!A:C,3,0)</f>
        <v>5</v>
      </c>
      <c r="E1503" s="187">
        <v>-0.13494809688581319</v>
      </c>
      <c r="F1503">
        <v>5.17</v>
      </c>
    </row>
    <row r="1504" spans="1:6">
      <c r="A1504">
        <v>4950</v>
      </c>
      <c r="B1504" t="s">
        <v>398</v>
      </c>
      <c r="C1504">
        <v>21.25</v>
      </c>
      <c r="D1504">
        <f>VLOOKUP(A1504,收盤價!A:C,3,0)</f>
        <v>18.3</v>
      </c>
      <c r="E1504" s="187">
        <v>-0.13882352941176468</v>
      </c>
      <c r="F1504">
        <v>5.1100000000000003</v>
      </c>
    </row>
    <row r="1505" spans="1:6">
      <c r="A1505">
        <v>8418</v>
      </c>
      <c r="B1505" t="s">
        <v>1831</v>
      </c>
      <c r="C1505">
        <v>18.850000000000001</v>
      </c>
      <c r="D1505">
        <f>VLOOKUP(A1505,收盤價!A:C,3,0)</f>
        <v>16.2</v>
      </c>
      <c r="E1505" s="187">
        <v>-0.14058355437665793</v>
      </c>
      <c r="F1505">
        <v>5.05</v>
      </c>
    </row>
    <row r="1506" spans="1:6">
      <c r="A1506">
        <v>1459</v>
      </c>
      <c r="B1506" t="s">
        <v>630</v>
      </c>
      <c r="C1506">
        <v>12.3</v>
      </c>
      <c r="D1506">
        <f>VLOOKUP(A1506,收盤價!A:C,3,0)</f>
        <v>10.55</v>
      </c>
      <c r="E1506" s="187">
        <v>-0.14227642276422764</v>
      </c>
      <c r="F1506">
        <v>4.9800000000000004</v>
      </c>
    </row>
    <row r="1507" spans="1:6">
      <c r="A1507">
        <v>911626</v>
      </c>
      <c r="B1507" t="s">
        <v>1391</v>
      </c>
      <c r="C1507">
        <v>4.0999999999999996</v>
      </c>
      <c r="D1507">
        <f>VLOOKUP(A1507,收盤價!A:C,3,0)</f>
        <v>3.51</v>
      </c>
      <c r="E1507" s="187">
        <v>-0.14390243902439023</v>
      </c>
      <c r="F1507">
        <v>4.92</v>
      </c>
    </row>
    <row r="1508" spans="1:6">
      <c r="A1508">
        <v>4180</v>
      </c>
      <c r="B1508" t="s">
        <v>1583</v>
      </c>
      <c r="C1508">
        <v>196</v>
      </c>
      <c r="D1508">
        <f>VLOOKUP(A1508,收盤價!A:C,3,0)</f>
        <v>167.5</v>
      </c>
      <c r="E1508" s="187">
        <v>-0.14540816326530612</v>
      </c>
      <c r="F1508">
        <v>4.8600000000000003</v>
      </c>
    </row>
    <row r="1509" spans="1:6">
      <c r="A1509">
        <v>6177</v>
      </c>
      <c r="B1509" t="s">
        <v>1284</v>
      </c>
      <c r="C1509">
        <v>23.4</v>
      </c>
      <c r="D1509">
        <f>VLOOKUP(A1509,收盤價!A:C,3,0)</f>
        <v>19.899999999999999</v>
      </c>
      <c r="E1509" s="187">
        <v>-0.14957264957264957</v>
      </c>
      <c r="F1509">
        <v>4.79</v>
      </c>
    </row>
    <row r="1510" spans="1:6">
      <c r="A1510">
        <v>8097</v>
      </c>
      <c r="B1510" t="s">
        <v>1804</v>
      </c>
      <c r="C1510">
        <v>14</v>
      </c>
      <c r="D1510">
        <f>VLOOKUP(A1510,收盤價!A:C,3,0)</f>
        <v>11.9</v>
      </c>
      <c r="E1510" s="187">
        <v>-0.14999999999999997</v>
      </c>
      <c r="F1510">
        <v>4.7300000000000004</v>
      </c>
    </row>
    <row r="1511" spans="1:6">
      <c r="A1511">
        <v>3511</v>
      </c>
      <c r="B1511" t="s">
        <v>1527</v>
      </c>
      <c r="C1511">
        <v>39.799999999999997</v>
      </c>
      <c r="D1511">
        <f>VLOOKUP(A1511,收盤價!A:C,3,0)</f>
        <v>33.700000000000003</v>
      </c>
      <c r="E1511" s="187">
        <v>-0.15326633165829132</v>
      </c>
      <c r="F1511">
        <v>4.67</v>
      </c>
    </row>
    <row r="1512" spans="1:6">
      <c r="A1512">
        <v>9106</v>
      </c>
      <c r="B1512" t="s">
        <v>1380</v>
      </c>
      <c r="C1512">
        <v>3.52</v>
      </c>
      <c r="D1512">
        <f>VLOOKUP(A1512,收盤價!A:C,3,0)</f>
        <v>2.98</v>
      </c>
      <c r="E1512" s="187">
        <v>-0.15340909090909091</v>
      </c>
      <c r="F1512">
        <v>4.6100000000000003</v>
      </c>
    </row>
    <row r="1513" spans="1:6">
      <c r="A1513">
        <v>910322</v>
      </c>
      <c r="B1513" t="s">
        <v>1377</v>
      </c>
      <c r="C1513">
        <v>28.5</v>
      </c>
      <c r="D1513">
        <f>VLOOKUP(A1513,收盤價!A:C,3,0)</f>
        <v>24.1</v>
      </c>
      <c r="E1513" s="187">
        <v>-0.15438596491228065</v>
      </c>
      <c r="F1513">
        <v>4.54</v>
      </c>
    </row>
    <row r="1514" spans="1:6">
      <c r="A1514">
        <v>2542</v>
      </c>
      <c r="B1514" t="s">
        <v>962</v>
      </c>
      <c r="C1514">
        <v>45.8</v>
      </c>
      <c r="D1514">
        <f>VLOOKUP(A1514,收盤價!A:C,3,0)</f>
        <v>38.299999999999997</v>
      </c>
      <c r="E1514" s="187">
        <v>-0.16375545851528386</v>
      </c>
      <c r="F1514">
        <v>4.4800000000000004</v>
      </c>
    </row>
    <row r="1515" spans="1:6">
      <c r="A1515">
        <v>6246</v>
      </c>
      <c r="B1515" t="s">
        <v>484</v>
      </c>
      <c r="C1515">
        <v>2.75</v>
      </c>
      <c r="D1515">
        <f>VLOOKUP(A1515,收盤價!A:C,3,0)</f>
        <v>2.2799999999999998</v>
      </c>
      <c r="E1515" s="187">
        <v>-0.17090909090909098</v>
      </c>
      <c r="F1515">
        <v>4.42</v>
      </c>
    </row>
    <row r="1516" spans="1:6">
      <c r="A1516">
        <v>2924</v>
      </c>
      <c r="B1516" t="s">
        <v>1466</v>
      </c>
      <c r="C1516">
        <v>72</v>
      </c>
      <c r="D1516">
        <f>VLOOKUP(A1516,收盤價!A:C,3,0)</f>
        <v>59.2</v>
      </c>
      <c r="E1516" s="187">
        <v>-0.17777777777777773</v>
      </c>
      <c r="F1516">
        <v>4.3499999999999996</v>
      </c>
    </row>
    <row r="1517" spans="1:6">
      <c r="A1517">
        <v>5301</v>
      </c>
      <c r="B1517" t="s">
        <v>417</v>
      </c>
      <c r="C1517">
        <v>49.9</v>
      </c>
      <c r="D1517">
        <f>VLOOKUP(A1517,收盤價!A:C,3,0)</f>
        <v>40.9</v>
      </c>
      <c r="E1517" s="187">
        <v>-0.18036072144288579</v>
      </c>
      <c r="F1517">
        <v>4.29</v>
      </c>
    </row>
    <row r="1518" spans="1:6">
      <c r="A1518">
        <v>3067</v>
      </c>
      <c r="B1518" t="s">
        <v>284</v>
      </c>
      <c r="C1518">
        <v>15.5</v>
      </c>
      <c r="D1518">
        <f>VLOOKUP(A1518,收盤價!A:C,3,0)</f>
        <v>12.6</v>
      </c>
      <c r="E1518" s="187">
        <v>-0.18709677419354842</v>
      </c>
      <c r="F1518">
        <v>4.2300000000000004</v>
      </c>
    </row>
    <row r="1519" spans="1:6">
      <c r="A1519">
        <v>5523</v>
      </c>
      <c r="B1519" t="s">
        <v>444</v>
      </c>
      <c r="C1519">
        <v>9.89</v>
      </c>
      <c r="D1519">
        <f>VLOOKUP(A1519,收盤價!A:C,3,0)</f>
        <v>8</v>
      </c>
      <c r="E1519" s="187">
        <v>-0.19110212335692622</v>
      </c>
      <c r="F1519">
        <v>4.16</v>
      </c>
    </row>
    <row r="1520" spans="1:6">
      <c r="A1520">
        <v>2491</v>
      </c>
      <c r="B1520" t="s">
        <v>933</v>
      </c>
      <c r="C1520">
        <v>8.8000000000000007</v>
      </c>
      <c r="D1520">
        <f>VLOOKUP(A1520,收盤價!A:C,3,0)</f>
        <v>7.05</v>
      </c>
      <c r="E1520" s="187">
        <v>-0.19886363636363644</v>
      </c>
      <c r="F1520">
        <v>4.0999999999999996</v>
      </c>
    </row>
    <row r="1521" spans="1:6">
      <c r="A1521">
        <v>2615</v>
      </c>
      <c r="B1521" t="s">
        <v>981</v>
      </c>
      <c r="C1521">
        <v>20</v>
      </c>
      <c r="D1521">
        <f>VLOOKUP(A1521,收盤價!A:C,3,0)</f>
        <v>15.9</v>
      </c>
      <c r="E1521" s="187">
        <v>-0.20499999999999999</v>
      </c>
      <c r="F1521">
        <v>4.04</v>
      </c>
    </row>
    <row r="1522" spans="1:6">
      <c r="A1522">
        <v>5321</v>
      </c>
      <c r="B1522" t="s">
        <v>1659</v>
      </c>
      <c r="C1522">
        <v>37.950000000000003</v>
      </c>
      <c r="D1522">
        <f>VLOOKUP(A1522,收盤價!A:C,3,0)</f>
        <v>30.05</v>
      </c>
      <c r="E1522" s="187">
        <v>-0.20816864295125168</v>
      </c>
      <c r="F1522">
        <v>3.97</v>
      </c>
    </row>
    <row r="1523" spans="1:6">
      <c r="A1523">
        <v>4113</v>
      </c>
      <c r="B1523" t="s">
        <v>364</v>
      </c>
      <c r="C1523">
        <v>13.6</v>
      </c>
      <c r="D1523">
        <f>VLOOKUP(A1523,收盤價!A:C,3,0)</f>
        <v>10.65</v>
      </c>
      <c r="E1523" s="187">
        <v>-0.2169117647058823</v>
      </c>
      <c r="F1523">
        <v>3.91</v>
      </c>
    </row>
    <row r="1524" spans="1:6">
      <c r="A1524">
        <v>5906</v>
      </c>
      <c r="B1524" t="s">
        <v>1258</v>
      </c>
      <c r="C1524">
        <v>2.4300000000000002</v>
      </c>
      <c r="D1524">
        <f>VLOOKUP(A1524,收盤價!A:C,3,0)</f>
        <v>1.88</v>
      </c>
      <c r="E1524" s="187">
        <v>-0.22633744855967089</v>
      </c>
      <c r="F1524">
        <v>3.85</v>
      </c>
    </row>
    <row r="1525" spans="1:6">
      <c r="A1525">
        <v>6294</v>
      </c>
      <c r="B1525" t="s">
        <v>1769</v>
      </c>
      <c r="C1525">
        <v>114.5</v>
      </c>
      <c r="D1525">
        <f>VLOOKUP(A1525,收盤價!A:C,3,0)</f>
        <v>88.5</v>
      </c>
      <c r="E1525" s="187">
        <v>-0.22707423580786026</v>
      </c>
      <c r="F1525">
        <v>3.79</v>
      </c>
    </row>
    <row r="1526" spans="1:6">
      <c r="A1526">
        <v>3631</v>
      </c>
      <c r="B1526" t="s">
        <v>356</v>
      </c>
      <c r="C1526">
        <v>31.6</v>
      </c>
      <c r="D1526">
        <f>VLOOKUP(A1526,收盤價!A:C,3,0)</f>
        <v>24.25</v>
      </c>
      <c r="E1526" s="187">
        <v>-0.23259493670886081</v>
      </c>
      <c r="F1526">
        <v>3.72</v>
      </c>
    </row>
    <row r="1527" spans="1:6">
      <c r="A1527">
        <v>3095</v>
      </c>
      <c r="B1527" t="s">
        <v>291</v>
      </c>
      <c r="C1527">
        <v>7.94</v>
      </c>
      <c r="D1527">
        <f>VLOOKUP(A1527,收盤價!A:C,3,0)</f>
        <v>6.03</v>
      </c>
      <c r="E1527" s="187">
        <v>-0.24055415617128464</v>
      </c>
      <c r="F1527">
        <v>3.66</v>
      </c>
    </row>
    <row r="1528" spans="1:6">
      <c r="A1528">
        <v>1339</v>
      </c>
      <c r="B1528" t="s">
        <v>595</v>
      </c>
      <c r="C1528">
        <v>85</v>
      </c>
      <c r="D1528">
        <f>VLOOKUP(A1528,收盤價!A:C,3,0)</f>
        <v>64</v>
      </c>
      <c r="E1528" s="187">
        <v>-0.24705882352941178</v>
      </c>
      <c r="F1528">
        <v>3.6</v>
      </c>
    </row>
    <row r="1529" spans="1:6">
      <c r="A1529">
        <v>8092</v>
      </c>
      <c r="B1529" t="s">
        <v>1801</v>
      </c>
      <c r="C1529">
        <v>9.9</v>
      </c>
      <c r="D1529">
        <f>VLOOKUP(A1529,收盤價!A:C,3,0)</f>
        <v>7.41</v>
      </c>
      <c r="E1529" s="187">
        <v>-0.25151515151515152</v>
      </c>
      <c r="F1529">
        <v>3.53</v>
      </c>
    </row>
    <row r="1530" spans="1:6">
      <c r="A1530">
        <v>911612</v>
      </c>
      <c r="B1530" t="s">
        <v>1387</v>
      </c>
      <c r="C1530">
        <v>0.65</v>
      </c>
      <c r="D1530">
        <f>VLOOKUP(A1530,收盤價!A:C,3,0)</f>
        <v>0.48</v>
      </c>
      <c r="E1530" s="187">
        <v>-0.26153846153846161</v>
      </c>
      <c r="F1530">
        <v>3.47</v>
      </c>
    </row>
    <row r="1531" spans="1:6">
      <c r="A1531">
        <v>1456</v>
      </c>
      <c r="B1531" t="s">
        <v>628</v>
      </c>
      <c r="C1531">
        <v>5.71</v>
      </c>
      <c r="D1531">
        <f>VLOOKUP(A1531,收盤價!A:C,3,0)</f>
        <v>4.1100000000000003</v>
      </c>
      <c r="E1531" s="187">
        <v>-0.28021015761821361</v>
      </c>
      <c r="F1531">
        <v>3.41</v>
      </c>
    </row>
    <row r="1532" spans="1:6">
      <c r="A1532">
        <v>2025</v>
      </c>
      <c r="B1532" t="s">
        <v>764</v>
      </c>
      <c r="C1532">
        <v>2.54</v>
      </c>
      <c r="D1532">
        <f>VLOOKUP(A1532,收盤價!A:C,3,0)</f>
        <v>1.8</v>
      </c>
      <c r="E1532" s="187">
        <v>-0.29133858267716534</v>
      </c>
      <c r="F1532">
        <v>3.34</v>
      </c>
    </row>
    <row r="1533" spans="1:6">
      <c r="A1533">
        <v>4994</v>
      </c>
      <c r="B1533" t="s">
        <v>1225</v>
      </c>
      <c r="C1533">
        <v>121.5</v>
      </c>
      <c r="D1533">
        <f>VLOOKUP(A1533,收盤價!A:C,3,0)</f>
        <v>82.5</v>
      </c>
      <c r="E1533" s="187">
        <v>-0.32098765432098764</v>
      </c>
      <c r="F1533">
        <v>3.28</v>
      </c>
    </row>
    <row r="1534" spans="1:6">
      <c r="A1534">
        <v>913889</v>
      </c>
      <c r="B1534" t="s">
        <v>1396</v>
      </c>
      <c r="C1534">
        <v>3.36</v>
      </c>
      <c r="D1534">
        <f>VLOOKUP(A1534,收盤價!A:C,3,0)</f>
        <v>2.1</v>
      </c>
      <c r="E1534" s="187">
        <v>-0.37499999999999994</v>
      </c>
      <c r="F1534">
        <v>3.22</v>
      </c>
    </row>
    <row r="1535" spans="1:6">
      <c r="A1535">
        <v>9906</v>
      </c>
      <c r="B1535" t="s">
        <v>1403</v>
      </c>
      <c r="C1535">
        <v>22.9</v>
      </c>
      <c r="D1535">
        <f>VLOOKUP(A1535,收盤價!A:C,3,0)</f>
        <v>14.25</v>
      </c>
      <c r="E1535" s="187">
        <v>-0.37772925764192133</v>
      </c>
      <c r="F1535">
        <v>3.15</v>
      </c>
    </row>
    <row r="1536" spans="1:6">
      <c r="A1536">
        <v>3489</v>
      </c>
      <c r="B1536" t="s">
        <v>333</v>
      </c>
      <c r="C1536">
        <v>17.45</v>
      </c>
      <c r="D1536">
        <f>VLOOKUP(A1536,收盤價!A:C,3,0)</f>
        <v>9.9499999999999993</v>
      </c>
      <c r="E1536" s="187">
        <v>-0.42979942693409745</v>
      </c>
      <c r="F1536">
        <v>3.09</v>
      </c>
    </row>
    <row r="1537" spans="1:6">
      <c r="A1537">
        <v>6131</v>
      </c>
      <c r="B1537" t="s">
        <v>1268</v>
      </c>
      <c r="C1537">
        <v>23.45</v>
      </c>
      <c r="D1537">
        <f>VLOOKUP(A1537,收盤價!A:C,3,0)</f>
        <v>9.86</v>
      </c>
      <c r="E1537" s="187">
        <v>-0.57953091684434965</v>
      </c>
      <c r="F1537">
        <v>3.03</v>
      </c>
    </row>
    <row r="1538" spans="1:6">
      <c r="A1538">
        <v>3332</v>
      </c>
      <c r="B1538" t="s">
        <v>320</v>
      </c>
      <c r="C1538">
        <v>33</v>
      </c>
      <c r="D1538">
        <f>VLOOKUP(A1538,收盤價!A:C,3,0)</f>
        <v>0</v>
      </c>
      <c r="E1538" s="187">
        <v>-1</v>
      </c>
      <c r="F1538">
        <v>2.97</v>
      </c>
    </row>
    <row r="1539" spans="1:6">
      <c r="A1539">
        <v>8087</v>
      </c>
      <c r="B1539" t="s">
        <v>510</v>
      </c>
      <c r="C1539">
        <v>7.03</v>
      </c>
      <c r="D1539">
        <f>VLOOKUP(A1539,收盤價!A:C,3,0)</f>
        <v>0</v>
      </c>
      <c r="E1539" s="187">
        <v>-1</v>
      </c>
      <c r="F1539">
        <v>2.9</v>
      </c>
    </row>
    <row r="1540" spans="1:6">
      <c r="A1540">
        <v>5878</v>
      </c>
      <c r="B1540" t="s">
        <v>448</v>
      </c>
      <c r="C1540">
        <v>41.8</v>
      </c>
      <c r="D1540">
        <f>VLOOKUP(A1540,收盤價!A:C,3,0)</f>
        <v>0</v>
      </c>
      <c r="E1540" s="187">
        <v>-1</v>
      </c>
      <c r="F1540">
        <v>2.84</v>
      </c>
    </row>
    <row r="1541" spans="1:6">
      <c r="A1541">
        <v>8077</v>
      </c>
      <c r="B1541" t="s">
        <v>1867</v>
      </c>
      <c r="C1541">
        <v>54</v>
      </c>
      <c r="D1541">
        <f>VLOOKUP(A1541,收盤價!A:C,3,0)</f>
        <v>0</v>
      </c>
      <c r="E1541" s="187">
        <v>-1</v>
      </c>
      <c r="F1541">
        <v>2.78</v>
      </c>
    </row>
    <row r="1542" spans="1:6">
      <c r="A1542">
        <v>3162</v>
      </c>
      <c r="B1542" t="s">
        <v>1483</v>
      </c>
      <c r="C1542">
        <v>6.14</v>
      </c>
      <c r="D1542">
        <f>VLOOKUP(A1542,收盤價!A:C,3,0)</f>
        <v>0</v>
      </c>
      <c r="E1542" s="187">
        <v>-1</v>
      </c>
      <c r="F1542">
        <v>2.71</v>
      </c>
    </row>
    <row r="1543" spans="1:6">
      <c r="A1543">
        <v>3444</v>
      </c>
      <c r="B1543" t="s">
        <v>1520</v>
      </c>
      <c r="C1543">
        <v>16.95</v>
      </c>
      <c r="D1543">
        <f>VLOOKUP(A1543,收盤價!A:C,3,0)</f>
        <v>0</v>
      </c>
      <c r="E1543" s="187">
        <v>-1</v>
      </c>
      <c r="F1543">
        <v>2.65</v>
      </c>
    </row>
    <row r="1544" spans="1:6">
      <c r="A1544">
        <v>2734</v>
      </c>
      <c r="B1544" t="s">
        <v>283</v>
      </c>
      <c r="C1544">
        <v>27.2</v>
      </c>
      <c r="D1544">
        <f>VLOOKUP(A1544,收盤價!A:C,3,0)</f>
        <v>0</v>
      </c>
      <c r="E1544" s="187">
        <v>-1</v>
      </c>
      <c r="F1544">
        <v>2.59</v>
      </c>
    </row>
    <row r="1545" spans="1:6">
      <c r="A1545">
        <v>6140</v>
      </c>
      <c r="B1545" t="s">
        <v>1726</v>
      </c>
      <c r="C1545">
        <v>10.8</v>
      </c>
      <c r="D1545">
        <f>VLOOKUP(A1545,收盤價!A:C,3,0)</f>
        <v>0</v>
      </c>
      <c r="E1545" s="187">
        <v>-1</v>
      </c>
      <c r="F1545">
        <v>2.52</v>
      </c>
    </row>
    <row r="1546" spans="1:6">
      <c r="A1546">
        <v>5251</v>
      </c>
      <c r="B1546" t="s">
        <v>411</v>
      </c>
      <c r="C1546">
        <v>33.5</v>
      </c>
      <c r="D1546">
        <f>VLOOKUP(A1546,收盤價!A:C,3,0)</f>
        <v>0</v>
      </c>
      <c r="E1546" s="187">
        <v>-1</v>
      </c>
      <c r="F1546">
        <v>2.46</v>
      </c>
    </row>
    <row r="1547" spans="1:6">
      <c r="A1547">
        <v>3466</v>
      </c>
      <c r="B1547" t="s">
        <v>330</v>
      </c>
      <c r="C1547">
        <v>27.9</v>
      </c>
      <c r="D1547">
        <f>VLOOKUP(A1547,收盤價!A:C,3,0)</f>
        <v>0</v>
      </c>
      <c r="E1547" s="187">
        <v>-1</v>
      </c>
      <c r="F1547">
        <v>2.4</v>
      </c>
    </row>
    <row r="1548" spans="1:6">
      <c r="A1548">
        <v>4416</v>
      </c>
      <c r="B1548" t="s">
        <v>379</v>
      </c>
      <c r="C1548">
        <v>86.7</v>
      </c>
      <c r="D1548">
        <f>VLOOKUP(A1548,收盤價!A:C,3,0)</f>
        <v>0</v>
      </c>
      <c r="E1548" s="187">
        <v>-1</v>
      </c>
      <c r="F1548">
        <v>2.33</v>
      </c>
    </row>
    <row r="1549" spans="1:6">
      <c r="A1549">
        <v>6199</v>
      </c>
      <c r="B1549" t="s">
        <v>1866</v>
      </c>
      <c r="C1549">
        <v>11.25</v>
      </c>
      <c r="D1549">
        <f>VLOOKUP(A1549,收盤價!A:C,3,0)</f>
        <v>0</v>
      </c>
      <c r="E1549" s="187">
        <v>-1</v>
      </c>
      <c r="F1549">
        <v>2.27</v>
      </c>
    </row>
    <row r="1550" spans="1:6">
      <c r="A1550">
        <v>8923</v>
      </c>
      <c r="B1550" t="s">
        <v>1840</v>
      </c>
      <c r="C1550">
        <v>16.7</v>
      </c>
      <c r="D1550">
        <f>VLOOKUP(A1550,收盤價!A:C,3,0)</f>
        <v>0</v>
      </c>
      <c r="E1550" s="187">
        <v>-1</v>
      </c>
      <c r="F1550">
        <v>2.21</v>
      </c>
    </row>
    <row r="1551" spans="1:6">
      <c r="A1551">
        <v>2361</v>
      </c>
      <c r="B1551" t="s">
        <v>837</v>
      </c>
      <c r="C1551">
        <v>0.76</v>
      </c>
      <c r="D1551" t="str">
        <f>VLOOKUP(A1551,收盤價!A:C,3,0)</f>
        <v>--</v>
      </c>
      <c r="F1551">
        <v>2.15</v>
      </c>
    </row>
    <row r="1552" spans="1:6">
      <c r="A1552">
        <v>2910</v>
      </c>
      <c r="B1552" t="s">
        <v>1040</v>
      </c>
      <c r="C1552">
        <v>21.6</v>
      </c>
      <c r="D1552" t="str">
        <f>VLOOKUP(A1552,收盤價!A:C,3,0)</f>
        <v>--</v>
      </c>
      <c r="F1552">
        <v>2.08</v>
      </c>
    </row>
    <row r="1553" spans="1:6">
      <c r="A1553">
        <v>9931</v>
      </c>
      <c r="B1553" t="s">
        <v>1421</v>
      </c>
      <c r="C1553">
        <v>29</v>
      </c>
      <c r="D1553" t="str">
        <f>VLOOKUP(A1553,收盤價!A:C,3,0)</f>
        <v>--</v>
      </c>
      <c r="F1553">
        <v>2.02</v>
      </c>
    </row>
    <row r="1554" spans="1:6">
      <c r="A1554">
        <v>2033</v>
      </c>
      <c r="B1554" t="s">
        <v>771</v>
      </c>
      <c r="C1554">
        <v>8.33</v>
      </c>
      <c r="D1554" t="str">
        <f>VLOOKUP(A1554,收盤價!A:C,3,0)</f>
        <v>--</v>
      </c>
      <c r="F1554">
        <v>1.96</v>
      </c>
    </row>
    <row r="1555" spans="1:6">
      <c r="A1555">
        <v>2540</v>
      </c>
      <c r="B1555" t="s">
        <v>961</v>
      </c>
      <c r="C1555">
        <v>32.5</v>
      </c>
      <c r="D1555" t="str">
        <f>VLOOKUP(A1555,收盤價!A:C,3,0)</f>
        <v>--</v>
      </c>
      <c r="F1555">
        <v>1.89</v>
      </c>
    </row>
    <row r="1556" spans="1:6">
      <c r="A1556">
        <v>1603</v>
      </c>
      <c r="B1556" t="s">
        <v>685</v>
      </c>
      <c r="C1556">
        <v>9.4</v>
      </c>
      <c r="D1556" t="e">
        <f>VLOOKUP(A1556,收盤價!A:C,3,0)</f>
        <v>#N/A</v>
      </c>
      <c r="F1556">
        <v>1.83</v>
      </c>
    </row>
    <row r="1557" spans="1:6">
      <c r="A1557" t="s">
        <v>259</v>
      </c>
      <c r="B1557" t="s">
        <v>582</v>
      </c>
      <c r="C1557">
        <v>20</v>
      </c>
      <c r="D1557" t="str">
        <f>VLOOKUP(A1557,收盤價!A:C,3,0)</f>
        <v>--</v>
      </c>
      <c r="F1557">
        <v>1.77</v>
      </c>
    </row>
    <row r="1558" spans="1:6">
      <c r="A1558">
        <v>2712</v>
      </c>
      <c r="B1558" t="s">
        <v>994</v>
      </c>
      <c r="C1558">
        <v>22.3</v>
      </c>
      <c r="D1558" t="str">
        <f>VLOOKUP(A1558,收盤價!A:C,3,0)</f>
        <v>--</v>
      </c>
      <c r="F1558">
        <v>1.7</v>
      </c>
    </row>
    <row r="1559" spans="1:6">
      <c r="A1559">
        <v>2429</v>
      </c>
      <c r="B1559" t="s">
        <v>885</v>
      </c>
      <c r="C1559">
        <v>14.7</v>
      </c>
      <c r="D1559" t="str">
        <f>VLOOKUP(A1559,收盤價!A:C,3,0)</f>
        <v>--</v>
      </c>
      <c r="F1559">
        <v>1.64</v>
      </c>
    </row>
    <row r="1560" spans="1:6">
      <c r="A1560">
        <v>2722</v>
      </c>
      <c r="B1560" t="s">
        <v>995</v>
      </c>
      <c r="C1560">
        <v>44.35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825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1857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1477</v>
      </c>
      <c r="C1564">
        <v>0</v>
      </c>
      <c r="F1564">
        <v>1.32</v>
      </c>
    </row>
    <row r="1565" spans="1:6">
      <c r="A1565">
        <v>3465</v>
      </c>
      <c r="B1565" t="s">
        <v>1522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1549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1592</v>
      </c>
      <c r="C1569">
        <v>0</v>
      </c>
      <c r="F1569">
        <v>1.01</v>
      </c>
    </row>
    <row r="1570" spans="1:6">
      <c r="A1570">
        <v>5205</v>
      </c>
      <c r="B1570" t="s">
        <v>1643</v>
      </c>
      <c r="C1570">
        <v>0</v>
      </c>
      <c r="F1570">
        <v>0.95</v>
      </c>
    </row>
    <row r="1571" spans="1:6">
      <c r="A1571">
        <v>5348</v>
      </c>
      <c r="B1571" t="s">
        <v>1663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1728</v>
      </c>
      <c r="C1574">
        <v>0</v>
      </c>
      <c r="F1574">
        <v>0.69</v>
      </c>
    </row>
    <row r="1575" spans="1:6">
      <c r="A1575">
        <v>6240</v>
      </c>
      <c r="B1575" t="s">
        <v>1756</v>
      </c>
      <c r="C1575">
        <v>0</v>
      </c>
      <c r="F1575">
        <v>0.63</v>
      </c>
    </row>
    <row r="1576" spans="1:6">
      <c r="A1576">
        <v>6242</v>
      </c>
      <c r="B1576" t="s">
        <v>1757</v>
      </c>
      <c r="C1576">
        <v>0</v>
      </c>
      <c r="F1576">
        <v>0.56999999999999995</v>
      </c>
    </row>
    <row r="1577" spans="1:6">
      <c r="A1577">
        <v>6250</v>
      </c>
      <c r="B1577" t="s">
        <v>486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493</v>
      </c>
      <c r="C1578">
        <v>0</v>
      </c>
      <c r="F1578">
        <v>0.44</v>
      </c>
    </row>
    <row r="1579" spans="1:6">
      <c r="A1579">
        <v>8068</v>
      </c>
      <c r="B1579" t="s">
        <v>504</v>
      </c>
      <c r="C1579">
        <v>0</v>
      </c>
      <c r="F1579">
        <v>0.38</v>
      </c>
    </row>
    <row r="1580" spans="1:6">
      <c r="A1580">
        <v>8917</v>
      </c>
      <c r="B1580" t="s">
        <v>528</v>
      </c>
      <c r="C1580">
        <v>0</v>
      </c>
      <c r="F1580">
        <v>0.32</v>
      </c>
    </row>
    <row r="1581" spans="1:6">
      <c r="A1581">
        <v>8921</v>
      </c>
      <c r="B1581" t="s">
        <v>1839</v>
      </c>
      <c r="C1581">
        <v>0</v>
      </c>
      <c r="F1581">
        <v>0.25</v>
      </c>
    </row>
    <row r="1582" spans="1:6">
      <c r="A1582">
        <v>8925</v>
      </c>
      <c r="B1582" t="s">
        <v>1842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1385</v>
      </c>
      <c r="C1583">
        <v>0</v>
      </c>
      <c r="F1583">
        <v>0.13</v>
      </c>
    </row>
    <row r="1584" spans="1:6">
      <c r="A1584">
        <v>911622</v>
      </c>
      <c r="B1584" t="s">
        <v>1390</v>
      </c>
      <c r="C1584">
        <v>0</v>
      </c>
      <c r="F1584">
        <v>0.06</v>
      </c>
    </row>
    <row r="1585" spans="1:6">
      <c r="A1585" t="s">
        <v>1858</v>
      </c>
      <c r="B1585" t="s">
        <v>1859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1846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5"/>
  <dimension ref="A1:AI1520"/>
  <sheetViews>
    <sheetView zoomScale="80" zoomScaleNormal="8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M9" sqref="M9"/>
    </sheetView>
  </sheetViews>
  <sheetFormatPr defaultRowHeight="16.5"/>
  <cols>
    <col min="1" max="1" width="13.875" style="216" bestFit="1" customWidth="1"/>
    <col min="2" max="2" width="9.625" customWidth="1"/>
    <col min="3" max="3" width="15.875" customWidth="1"/>
    <col min="4" max="4" width="11.625" bestFit="1" customWidth="1"/>
    <col min="5" max="5" width="11.625" customWidth="1"/>
    <col min="6" max="7" width="9.5" bestFit="1" customWidth="1"/>
    <col min="8" max="8" width="11.625" style="238" bestFit="1" customWidth="1"/>
    <col min="9" max="9" width="11.625" customWidth="1"/>
    <col min="10" max="10" width="11.625" style="228" bestFit="1" customWidth="1"/>
    <col min="11" max="11" width="11.625" customWidth="1"/>
    <col min="13" max="13" width="39" customWidth="1"/>
    <col min="14" max="14" width="75.625" customWidth="1"/>
    <col min="15" max="22" width="8.8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2" s="216" customFormat="1" ht="33">
      <c r="A1" s="224" t="s">
        <v>1912</v>
      </c>
      <c r="B1" s="224" t="s">
        <v>1905</v>
      </c>
      <c r="C1" s="222" t="s">
        <v>1924</v>
      </c>
      <c r="D1" s="223" t="s">
        <v>1909</v>
      </c>
      <c r="E1" s="223" t="s">
        <v>1908</v>
      </c>
      <c r="F1" s="226" t="s">
        <v>1906</v>
      </c>
      <c r="G1" s="226" t="s">
        <v>1907</v>
      </c>
      <c r="H1" s="237" t="s">
        <v>1910</v>
      </c>
      <c r="I1" s="223"/>
      <c r="J1" s="229" t="s">
        <v>1911</v>
      </c>
      <c r="K1" s="227"/>
      <c r="L1" s="225"/>
      <c r="M1" s="225"/>
    </row>
    <row r="2" spans="1:22">
      <c r="A2" s="216">
        <v>5381</v>
      </c>
      <c r="C2">
        <v>121</v>
      </c>
      <c r="D2">
        <v>217</v>
      </c>
      <c r="E2">
        <v>274</v>
      </c>
      <c r="F2">
        <v>493</v>
      </c>
      <c r="G2">
        <v>169</v>
      </c>
      <c r="H2" s="238">
        <v>0.25</v>
      </c>
      <c r="J2" s="228">
        <v>0.18</v>
      </c>
      <c r="L2">
        <v>3</v>
      </c>
      <c r="M2">
        <v>99.93</v>
      </c>
    </row>
    <row r="3" spans="1:22">
      <c r="A3" s="216">
        <v>3234</v>
      </c>
      <c r="C3">
        <v>340</v>
      </c>
      <c r="D3">
        <v>507</v>
      </c>
      <c r="E3">
        <v>1402</v>
      </c>
      <c r="F3">
        <v>1966</v>
      </c>
      <c r="G3">
        <v>661</v>
      </c>
      <c r="H3" s="238">
        <v>0.18</v>
      </c>
      <c r="J3" s="228">
        <v>0.13</v>
      </c>
      <c r="L3">
        <v>5</v>
      </c>
      <c r="M3">
        <v>99.87</v>
      </c>
    </row>
    <row r="4" spans="1:22">
      <c r="A4" s="216">
        <v>2231</v>
      </c>
      <c r="C4">
        <v>313</v>
      </c>
      <c r="D4">
        <v>1269</v>
      </c>
      <c r="E4">
        <v>877</v>
      </c>
      <c r="F4">
        <v>2275</v>
      </c>
      <c r="G4">
        <v>22</v>
      </c>
      <c r="H4" s="238">
        <v>0.15</v>
      </c>
      <c r="J4" s="228">
        <v>0.14000000000000001</v>
      </c>
      <c r="L4">
        <v>6</v>
      </c>
      <c r="M4">
        <v>99.8</v>
      </c>
    </row>
    <row r="5" spans="1:22">
      <c r="A5" s="216">
        <v>3008</v>
      </c>
      <c r="C5">
        <v>7417</v>
      </c>
      <c r="D5">
        <v>35755</v>
      </c>
      <c r="E5">
        <v>20091</v>
      </c>
      <c r="F5">
        <v>56819</v>
      </c>
      <c r="G5">
        <v>164</v>
      </c>
      <c r="H5" s="238">
        <v>0.13</v>
      </c>
      <c r="J5" s="228">
        <v>0.13</v>
      </c>
      <c r="L5">
        <v>8</v>
      </c>
      <c r="M5">
        <v>99.74</v>
      </c>
      <c r="O5" s="46"/>
      <c r="P5" s="46"/>
      <c r="Q5" s="46"/>
      <c r="R5" s="46"/>
      <c r="S5" s="46"/>
      <c r="T5" s="46"/>
      <c r="U5" s="46"/>
      <c r="V5" s="46"/>
    </row>
    <row r="6" spans="1:22">
      <c r="A6" s="216">
        <v>4733</v>
      </c>
      <c r="C6">
        <v>617</v>
      </c>
      <c r="D6">
        <v>2787</v>
      </c>
      <c r="E6">
        <v>716</v>
      </c>
      <c r="F6">
        <v>3066</v>
      </c>
      <c r="G6">
        <v>2547</v>
      </c>
      <c r="H6" s="238">
        <v>0.18</v>
      </c>
      <c r="J6" s="228">
        <v>0.11</v>
      </c>
      <c r="L6">
        <v>8</v>
      </c>
      <c r="M6">
        <v>99.67</v>
      </c>
      <c r="O6" s="46"/>
      <c r="P6" s="46"/>
      <c r="Q6" s="46"/>
      <c r="R6" s="46"/>
      <c r="S6" s="46"/>
      <c r="T6" s="46"/>
      <c r="U6" s="46"/>
      <c r="V6" s="46"/>
    </row>
    <row r="7" spans="1:22">
      <c r="A7" s="216">
        <v>5904</v>
      </c>
      <c r="C7">
        <v>332</v>
      </c>
      <c r="D7">
        <v>814</v>
      </c>
      <c r="E7">
        <v>1676</v>
      </c>
      <c r="F7">
        <v>2509</v>
      </c>
      <c r="G7">
        <v>349</v>
      </c>
      <c r="H7" s="238">
        <v>0.13</v>
      </c>
      <c r="J7" s="228">
        <v>0.12</v>
      </c>
      <c r="L7">
        <v>10</v>
      </c>
      <c r="M7">
        <v>99.61</v>
      </c>
      <c r="O7" s="46"/>
      <c r="P7" s="46"/>
      <c r="Q7" s="46"/>
      <c r="R7" s="46"/>
      <c r="S7" s="46"/>
      <c r="T7" s="46"/>
      <c r="U7" s="46"/>
      <c r="V7" s="46"/>
    </row>
    <row r="8" spans="1:22">
      <c r="A8" s="216">
        <v>3691</v>
      </c>
      <c r="C8">
        <v>880</v>
      </c>
      <c r="D8">
        <v>5316</v>
      </c>
      <c r="E8">
        <v>2303</v>
      </c>
      <c r="F8">
        <v>5739</v>
      </c>
      <c r="G8">
        <v>1812</v>
      </c>
      <c r="H8" s="238">
        <v>0.12</v>
      </c>
      <c r="J8" s="228">
        <v>0.12</v>
      </c>
      <c r="L8">
        <v>12</v>
      </c>
      <c r="M8">
        <v>99.54</v>
      </c>
      <c r="O8" s="46"/>
      <c r="P8" s="46"/>
      <c r="Q8" s="46"/>
      <c r="R8" s="46"/>
      <c r="S8" s="46"/>
      <c r="T8" s="46"/>
      <c r="U8" s="46"/>
      <c r="V8" s="46"/>
    </row>
    <row r="9" spans="1:22">
      <c r="A9" s="216">
        <v>3450</v>
      </c>
      <c r="C9">
        <v>428</v>
      </c>
      <c r="D9">
        <v>1734</v>
      </c>
      <c r="E9">
        <v>1902</v>
      </c>
      <c r="F9">
        <v>3880</v>
      </c>
      <c r="G9">
        <v>21</v>
      </c>
      <c r="H9" s="238">
        <v>0.12</v>
      </c>
      <c r="J9" s="228">
        <v>0.11</v>
      </c>
      <c r="L9">
        <v>14</v>
      </c>
      <c r="M9">
        <v>99.47</v>
      </c>
      <c r="O9" s="46"/>
      <c r="P9" s="46"/>
      <c r="Q9" s="46"/>
      <c r="R9" s="46"/>
      <c r="S9" s="46"/>
      <c r="T9" s="46"/>
      <c r="U9" s="46"/>
      <c r="V9" s="46"/>
    </row>
    <row r="10" spans="1:22">
      <c r="A10" s="216">
        <v>1256</v>
      </c>
      <c r="C10">
        <v>108</v>
      </c>
      <c r="D10">
        <v>305</v>
      </c>
      <c r="E10">
        <v>422</v>
      </c>
      <c r="F10">
        <v>915</v>
      </c>
      <c r="G10">
        <v>322</v>
      </c>
      <c r="H10" s="238">
        <v>0.15</v>
      </c>
      <c r="J10" s="228">
        <v>0.09</v>
      </c>
      <c r="L10">
        <v>14</v>
      </c>
      <c r="M10">
        <v>99.41</v>
      </c>
      <c r="O10" s="46"/>
      <c r="P10" s="46"/>
      <c r="Q10" s="46"/>
      <c r="R10" s="46"/>
      <c r="S10" s="46"/>
      <c r="T10" s="46"/>
      <c r="U10" s="46"/>
      <c r="V10" s="46"/>
    </row>
    <row r="11" spans="1:22">
      <c r="A11" s="216">
        <v>8086</v>
      </c>
      <c r="C11">
        <v>334</v>
      </c>
      <c r="D11">
        <v>1451</v>
      </c>
      <c r="E11">
        <v>1323</v>
      </c>
      <c r="F11">
        <v>2914</v>
      </c>
      <c r="G11">
        <v>89</v>
      </c>
      <c r="H11" s="238">
        <v>0.12</v>
      </c>
      <c r="J11" s="228">
        <v>0.11</v>
      </c>
      <c r="L11">
        <v>14</v>
      </c>
      <c r="M11">
        <v>99.34</v>
      </c>
      <c r="O11" s="46"/>
      <c r="P11" s="46"/>
      <c r="Q11" s="46"/>
      <c r="R11" s="46"/>
      <c r="S11" s="46"/>
      <c r="T11" s="46"/>
      <c r="U11" s="46"/>
      <c r="V11" s="46"/>
    </row>
    <row r="12" spans="1:22">
      <c r="A12" s="216">
        <v>3056</v>
      </c>
      <c r="C12">
        <v>568</v>
      </c>
      <c r="D12">
        <v>3487</v>
      </c>
      <c r="E12">
        <v>131</v>
      </c>
      <c r="F12">
        <v>3928</v>
      </c>
      <c r="G12">
        <v>3472</v>
      </c>
      <c r="H12" s="238">
        <v>0.16</v>
      </c>
      <c r="J12" s="228">
        <v>0.08</v>
      </c>
      <c r="L12">
        <v>16</v>
      </c>
      <c r="M12">
        <v>99.28</v>
      </c>
      <c r="O12" s="46"/>
      <c r="P12" s="46"/>
      <c r="Q12" s="46"/>
      <c r="R12" s="46"/>
      <c r="S12" s="46"/>
      <c r="T12" s="46"/>
      <c r="U12" s="46"/>
      <c r="V12" s="46"/>
    </row>
    <row r="13" spans="1:22">
      <c r="A13" s="216">
        <v>6238</v>
      </c>
      <c r="C13">
        <v>116</v>
      </c>
      <c r="D13">
        <v>429</v>
      </c>
      <c r="E13">
        <v>734</v>
      </c>
      <c r="F13">
        <v>801</v>
      </c>
      <c r="G13">
        <v>101</v>
      </c>
      <c r="H13" s="238">
        <v>0.1</v>
      </c>
      <c r="J13" s="228">
        <v>0.13</v>
      </c>
      <c r="L13">
        <v>16</v>
      </c>
      <c r="M13">
        <v>99.21</v>
      </c>
      <c r="O13" s="46"/>
      <c r="P13" s="46"/>
      <c r="Q13" s="46"/>
      <c r="R13" s="46"/>
      <c r="S13" s="46"/>
      <c r="T13" s="46"/>
      <c r="U13" s="46"/>
      <c r="V13" s="46"/>
    </row>
    <row r="14" spans="1:22">
      <c r="A14" s="216">
        <v>1476</v>
      </c>
      <c r="C14">
        <v>1268</v>
      </c>
      <c r="D14">
        <v>3779</v>
      </c>
      <c r="E14">
        <v>6583</v>
      </c>
      <c r="F14">
        <v>10467</v>
      </c>
      <c r="G14">
        <v>2152</v>
      </c>
      <c r="H14" s="238">
        <v>0.12</v>
      </c>
      <c r="J14" s="228">
        <v>0.1</v>
      </c>
      <c r="L14">
        <v>17</v>
      </c>
      <c r="M14">
        <v>99.14</v>
      </c>
      <c r="O14" s="46"/>
      <c r="P14" s="46"/>
      <c r="Q14" s="46"/>
      <c r="R14" s="46"/>
      <c r="S14" s="46"/>
      <c r="T14" s="46"/>
      <c r="U14" s="46"/>
      <c r="V14" s="46"/>
    </row>
    <row r="15" spans="1:22">
      <c r="A15" s="216">
        <v>3611</v>
      </c>
      <c r="C15">
        <v>184</v>
      </c>
      <c r="D15">
        <v>981</v>
      </c>
      <c r="E15">
        <v>628</v>
      </c>
      <c r="F15">
        <v>1666</v>
      </c>
      <c r="G15">
        <v>58</v>
      </c>
      <c r="H15" s="238">
        <v>0.11</v>
      </c>
      <c r="J15" s="228">
        <v>0.11</v>
      </c>
      <c r="L15">
        <v>18</v>
      </c>
      <c r="M15">
        <v>99.08</v>
      </c>
      <c r="O15" s="46"/>
      <c r="P15" s="46"/>
      <c r="Q15" s="46"/>
      <c r="R15" s="46"/>
      <c r="S15" s="46"/>
      <c r="T15" s="46"/>
      <c r="U15" s="46"/>
      <c r="V15" s="46"/>
    </row>
    <row r="16" spans="1:22">
      <c r="A16" s="216">
        <v>2383</v>
      </c>
      <c r="C16">
        <v>1035</v>
      </c>
      <c r="D16">
        <v>5884</v>
      </c>
      <c r="E16">
        <v>4858</v>
      </c>
      <c r="F16">
        <v>9336</v>
      </c>
      <c r="G16">
        <v>474</v>
      </c>
      <c r="H16" s="238">
        <v>0.1</v>
      </c>
      <c r="J16" s="228">
        <v>0.11</v>
      </c>
      <c r="L16">
        <v>20</v>
      </c>
      <c r="M16">
        <v>99.01</v>
      </c>
      <c r="O16" s="46"/>
      <c r="P16" s="46"/>
      <c r="Q16" s="46"/>
      <c r="R16" s="46"/>
      <c r="S16" s="46"/>
      <c r="T16" s="46"/>
      <c r="U16" s="46"/>
      <c r="V16" s="46"/>
    </row>
    <row r="17" spans="1:35">
      <c r="A17" s="216">
        <v>5274</v>
      </c>
      <c r="C17">
        <v>109</v>
      </c>
      <c r="D17">
        <v>913</v>
      </c>
      <c r="E17">
        <v>48</v>
      </c>
      <c r="F17">
        <v>973</v>
      </c>
      <c r="G17">
        <v>120</v>
      </c>
      <c r="H17" s="238">
        <v>0.11</v>
      </c>
      <c r="J17" s="228">
        <v>0.1</v>
      </c>
      <c r="L17">
        <v>20</v>
      </c>
      <c r="M17">
        <v>98.95</v>
      </c>
      <c r="O17" s="46"/>
      <c r="P17" s="46"/>
      <c r="Q17" s="46"/>
      <c r="R17" s="46"/>
      <c r="S17" s="46"/>
      <c r="T17" s="46"/>
      <c r="U17" s="46"/>
      <c r="V17" s="46"/>
      <c r="AC17" t="s">
        <v>2271</v>
      </c>
    </row>
    <row r="18" spans="1:35">
      <c r="A18" s="216">
        <v>2912</v>
      </c>
      <c r="C18">
        <v>2546</v>
      </c>
      <c r="D18">
        <v>0</v>
      </c>
      <c r="E18">
        <v>21811</v>
      </c>
      <c r="F18">
        <v>29623</v>
      </c>
      <c r="G18">
        <v>3289</v>
      </c>
      <c r="H18" s="238">
        <v>0.12</v>
      </c>
      <c r="J18" s="228">
        <v>0.08</v>
      </c>
      <c r="L18">
        <v>22</v>
      </c>
      <c r="M18">
        <v>98.88</v>
      </c>
      <c r="O18" s="46"/>
      <c r="P18" s="46"/>
      <c r="Q18" s="46"/>
      <c r="R18" s="46"/>
      <c r="S18" s="46"/>
      <c r="T18" s="46"/>
      <c r="U18" s="46"/>
      <c r="V18" s="46"/>
      <c r="AB18" t="s">
        <v>2272</v>
      </c>
      <c r="AC18" t="s">
        <v>2273</v>
      </c>
    </row>
    <row r="19" spans="1:35">
      <c r="A19" s="216">
        <v>6456</v>
      </c>
      <c r="C19">
        <v>1520</v>
      </c>
      <c r="D19">
        <v>1791</v>
      </c>
      <c r="E19">
        <v>15867</v>
      </c>
      <c r="F19">
        <v>10531</v>
      </c>
      <c r="G19">
        <v>2360</v>
      </c>
      <c r="H19" s="238">
        <v>0.09</v>
      </c>
      <c r="J19" s="228">
        <v>0.12</v>
      </c>
      <c r="L19">
        <v>22</v>
      </c>
      <c r="M19">
        <v>98.82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216">
        <v>1808</v>
      </c>
      <c r="C20">
        <v>707</v>
      </c>
      <c r="D20">
        <v>5009</v>
      </c>
      <c r="E20">
        <v>637</v>
      </c>
      <c r="F20">
        <v>4614</v>
      </c>
      <c r="G20">
        <v>6073</v>
      </c>
      <c r="H20" s="238">
        <v>0.13</v>
      </c>
      <c r="J20" s="228">
        <v>7.0000000000000007E-2</v>
      </c>
      <c r="L20">
        <v>24</v>
      </c>
      <c r="M20">
        <v>98.75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216">
        <v>4426</v>
      </c>
      <c r="C21">
        <v>176</v>
      </c>
      <c r="D21">
        <v>462</v>
      </c>
      <c r="E21">
        <v>1337</v>
      </c>
      <c r="F21">
        <v>1849</v>
      </c>
      <c r="G21">
        <v>116</v>
      </c>
      <c r="H21" s="238">
        <v>0.1</v>
      </c>
      <c r="J21" s="228">
        <v>0.09</v>
      </c>
      <c r="L21">
        <v>24</v>
      </c>
      <c r="M21">
        <v>98.68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216">
        <v>3324</v>
      </c>
      <c r="C22">
        <v>129</v>
      </c>
      <c r="D22">
        <v>156</v>
      </c>
      <c r="E22">
        <v>810</v>
      </c>
      <c r="F22">
        <v>1385</v>
      </c>
      <c r="G22">
        <v>554</v>
      </c>
      <c r="H22" s="238">
        <v>0.13</v>
      </c>
      <c r="J22" s="228">
        <v>7.0000000000000007E-2</v>
      </c>
      <c r="L22">
        <v>24</v>
      </c>
      <c r="M22">
        <v>98.62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216">
        <v>9910</v>
      </c>
      <c r="C23">
        <v>1540</v>
      </c>
      <c r="D23">
        <v>4449</v>
      </c>
      <c r="E23">
        <v>12858</v>
      </c>
      <c r="F23">
        <v>13808</v>
      </c>
      <c r="G23">
        <v>1755</v>
      </c>
      <c r="H23" s="238">
        <v>0.09</v>
      </c>
      <c r="J23" s="228">
        <v>0.1</v>
      </c>
      <c r="L23">
        <v>26</v>
      </c>
      <c r="M23">
        <v>98.55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216">
        <v>1565</v>
      </c>
      <c r="C24">
        <v>411</v>
      </c>
      <c r="D24">
        <v>2153</v>
      </c>
      <c r="E24">
        <v>2539</v>
      </c>
      <c r="F24">
        <v>4190</v>
      </c>
      <c r="G24">
        <v>92</v>
      </c>
      <c r="H24" s="238">
        <v>0.09</v>
      </c>
      <c r="J24" s="228">
        <v>0.1</v>
      </c>
      <c r="L24">
        <v>26</v>
      </c>
      <c r="M24">
        <v>98.49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216">
        <v>1580</v>
      </c>
      <c r="C25">
        <v>165</v>
      </c>
      <c r="D25">
        <v>945</v>
      </c>
      <c r="E25">
        <v>727</v>
      </c>
      <c r="F25">
        <v>1745</v>
      </c>
      <c r="G25">
        <v>445</v>
      </c>
      <c r="H25" s="238">
        <v>0.1</v>
      </c>
      <c r="J25" s="228">
        <v>0.08</v>
      </c>
      <c r="L25">
        <v>26</v>
      </c>
      <c r="M25">
        <v>98.42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216">
        <v>3662</v>
      </c>
      <c r="C26">
        <v>383</v>
      </c>
      <c r="D26">
        <v>1400</v>
      </c>
      <c r="E26">
        <v>111</v>
      </c>
      <c r="F26">
        <v>5353</v>
      </c>
      <c r="G26">
        <v>1133</v>
      </c>
      <c r="H26" s="238">
        <v>0.25</v>
      </c>
      <c r="J26" s="228">
        <v>0.06</v>
      </c>
      <c r="L26">
        <v>26</v>
      </c>
      <c r="M26">
        <v>98.35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216">
        <v>8083</v>
      </c>
      <c r="C27">
        <v>96</v>
      </c>
      <c r="D27">
        <v>182</v>
      </c>
      <c r="E27">
        <v>796</v>
      </c>
      <c r="F27">
        <v>996</v>
      </c>
      <c r="G27">
        <v>250</v>
      </c>
      <c r="H27" s="238">
        <v>0.1</v>
      </c>
      <c r="J27" s="228">
        <v>0.08</v>
      </c>
      <c r="L27">
        <v>26</v>
      </c>
      <c r="M27">
        <v>98.29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216">
        <v>8446</v>
      </c>
      <c r="C28">
        <v>60</v>
      </c>
      <c r="D28">
        <v>185</v>
      </c>
      <c r="E28">
        <v>15</v>
      </c>
      <c r="F28">
        <v>935</v>
      </c>
      <c r="G28">
        <v>6</v>
      </c>
      <c r="H28" s="238">
        <v>0.3</v>
      </c>
      <c r="J28" s="228">
        <v>0.06</v>
      </c>
      <c r="L28">
        <v>26</v>
      </c>
      <c r="M28">
        <v>98.22</v>
      </c>
      <c r="O28" s="46"/>
      <c r="P28" s="46"/>
      <c r="Q28" s="46"/>
      <c r="R28" s="46"/>
      <c r="S28" s="46"/>
      <c r="T28" s="46"/>
      <c r="U28" s="46"/>
      <c r="V28" s="46"/>
    </row>
    <row r="29" spans="1:35">
      <c r="A29" s="216">
        <v>1707</v>
      </c>
      <c r="C29">
        <v>466</v>
      </c>
      <c r="D29">
        <v>602</v>
      </c>
      <c r="E29">
        <v>5493</v>
      </c>
      <c r="F29">
        <v>3774</v>
      </c>
      <c r="G29">
        <v>21</v>
      </c>
      <c r="H29" s="238">
        <v>0.08</v>
      </c>
      <c r="J29" s="228">
        <v>0.12</v>
      </c>
      <c r="L29">
        <v>27</v>
      </c>
      <c r="M29">
        <v>98.16</v>
      </c>
      <c r="O29" s="46"/>
      <c r="P29" s="46"/>
      <c r="Q29" s="46"/>
      <c r="R29" s="46"/>
      <c r="S29" s="46"/>
      <c r="T29" s="46"/>
      <c r="U29" s="46"/>
      <c r="V29" s="46"/>
      <c r="AC29" t="s">
        <v>2275</v>
      </c>
      <c r="AF29" t="s">
        <v>2276</v>
      </c>
      <c r="AH29" t="s">
        <v>2277</v>
      </c>
    </row>
    <row r="30" spans="1:35">
      <c r="A30" s="216">
        <v>3558</v>
      </c>
      <c r="C30">
        <v>215</v>
      </c>
      <c r="D30">
        <v>1939</v>
      </c>
      <c r="E30">
        <v>373</v>
      </c>
      <c r="F30">
        <v>2390</v>
      </c>
      <c r="G30">
        <v>41</v>
      </c>
      <c r="H30" s="238">
        <v>0.09</v>
      </c>
      <c r="J30" s="228">
        <v>0.09</v>
      </c>
      <c r="L30">
        <v>28</v>
      </c>
      <c r="M30">
        <v>98.09</v>
      </c>
      <c r="O30" s="46"/>
      <c r="P30" s="46"/>
      <c r="Q30" s="46"/>
      <c r="R30" s="46"/>
      <c r="S30" s="46"/>
      <c r="T30" s="46"/>
      <c r="U30" s="46"/>
      <c r="V30" s="46"/>
      <c r="AB30" t="s">
        <v>1868</v>
      </c>
      <c r="AC30" t="s">
        <v>2274</v>
      </c>
      <c r="AE30" t="s">
        <v>1868</v>
      </c>
      <c r="AF30" t="s">
        <v>2274</v>
      </c>
      <c r="AG30" t="s">
        <v>1868</v>
      </c>
      <c r="AH30" t="s">
        <v>2274</v>
      </c>
      <c r="AI30" t="s">
        <v>1868</v>
      </c>
    </row>
    <row r="31" spans="1:35">
      <c r="A31" s="216">
        <v>9914</v>
      </c>
      <c r="C31">
        <v>837</v>
      </c>
      <c r="D31">
        <v>3615</v>
      </c>
      <c r="E31">
        <v>2883</v>
      </c>
      <c r="F31">
        <v>13006</v>
      </c>
      <c r="G31">
        <v>1316</v>
      </c>
      <c r="H31" s="238">
        <v>0.13</v>
      </c>
      <c r="J31" s="228">
        <v>0.06</v>
      </c>
      <c r="L31">
        <v>31</v>
      </c>
      <c r="M31">
        <v>98.03</v>
      </c>
      <c r="O31" s="46"/>
      <c r="P31" s="46"/>
      <c r="Q31" s="46"/>
      <c r="R31" s="46"/>
      <c r="S31" s="46"/>
      <c r="T31" s="46"/>
      <c r="U31" s="46"/>
      <c r="V31" s="46"/>
      <c r="AB31">
        <v>93.98</v>
      </c>
      <c r="AC31" s="46">
        <v>1263665</v>
      </c>
      <c r="AE31">
        <v>94.6</v>
      </c>
      <c r="AF31" s="46">
        <v>3682155</v>
      </c>
      <c r="AG31">
        <v>93.74</v>
      </c>
      <c r="AH31" s="46">
        <v>3698242</v>
      </c>
      <c r="AI31">
        <v>94.49</v>
      </c>
    </row>
    <row r="32" spans="1:35">
      <c r="A32" s="216">
        <v>3088</v>
      </c>
      <c r="C32">
        <v>147</v>
      </c>
      <c r="D32">
        <v>1156</v>
      </c>
      <c r="E32">
        <v>499</v>
      </c>
      <c r="F32">
        <v>1634</v>
      </c>
      <c r="G32">
        <v>107</v>
      </c>
      <c r="H32" s="238">
        <v>0.09</v>
      </c>
      <c r="J32" s="228">
        <v>0.08</v>
      </c>
      <c r="L32">
        <v>31</v>
      </c>
      <c r="M32">
        <v>97.96</v>
      </c>
      <c r="O32" s="46"/>
      <c r="P32" s="46"/>
      <c r="Q32" s="46"/>
      <c r="R32" s="46"/>
      <c r="S32" s="46"/>
      <c r="T32" s="46"/>
      <c r="U32" s="46"/>
      <c r="V32" s="46"/>
      <c r="AB32">
        <v>6.02</v>
      </c>
      <c r="AC32" s="46">
        <v>72144</v>
      </c>
      <c r="AE32">
        <v>5.4</v>
      </c>
      <c r="AF32" s="46">
        <v>245855</v>
      </c>
      <c r="AG32">
        <v>6.26</v>
      </c>
      <c r="AH32" s="46">
        <v>215511</v>
      </c>
      <c r="AI32">
        <v>5.51</v>
      </c>
    </row>
    <row r="33" spans="1:35">
      <c r="A33" s="216">
        <v>4979</v>
      </c>
      <c r="C33">
        <v>175</v>
      </c>
      <c r="D33">
        <v>795</v>
      </c>
      <c r="E33">
        <v>1184</v>
      </c>
      <c r="F33">
        <v>1784</v>
      </c>
      <c r="G33">
        <v>441</v>
      </c>
      <c r="H33" s="238">
        <v>0.09</v>
      </c>
      <c r="J33" s="228">
        <v>0.08</v>
      </c>
      <c r="L33">
        <v>31</v>
      </c>
      <c r="M33">
        <v>97.89</v>
      </c>
      <c r="O33" s="46"/>
      <c r="P33" s="46"/>
      <c r="Q33" s="46"/>
      <c r="R33" s="46"/>
      <c r="S33" s="46"/>
      <c r="T33" s="46"/>
      <c r="U33" s="46"/>
      <c r="V33" s="46"/>
      <c r="AB33">
        <v>100</v>
      </c>
      <c r="AC33" s="46">
        <v>1335809</v>
      </c>
      <c r="AE33">
        <v>100</v>
      </c>
      <c r="AF33" s="46">
        <v>3928010</v>
      </c>
      <c r="AG33">
        <v>100</v>
      </c>
      <c r="AH33" s="46">
        <v>3913753</v>
      </c>
      <c r="AI33">
        <v>100</v>
      </c>
    </row>
    <row r="34" spans="1:35">
      <c r="A34" s="216">
        <v>5289</v>
      </c>
      <c r="C34">
        <v>174</v>
      </c>
      <c r="D34">
        <v>1091</v>
      </c>
      <c r="E34">
        <v>948</v>
      </c>
      <c r="F34">
        <v>2176</v>
      </c>
      <c r="G34">
        <v>58</v>
      </c>
      <c r="H34" s="238">
        <v>0.09</v>
      </c>
      <c r="J34" s="228">
        <v>0.08</v>
      </c>
      <c r="L34">
        <v>31</v>
      </c>
      <c r="M34">
        <v>97.83</v>
      </c>
      <c r="O34" s="46"/>
      <c r="P34" s="46"/>
      <c r="Q34" s="46"/>
      <c r="R34" s="46"/>
      <c r="S34" s="46"/>
      <c r="T34" s="46"/>
      <c r="U34" s="46"/>
      <c r="V34" s="46"/>
      <c r="AB34">
        <v>82.43</v>
      </c>
      <c r="AC34" s="46">
        <v>1144770</v>
      </c>
      <c r="AE34">
        <v>85.7</v>
      </c>
      <c r="AF34" s="46">
        <v>3315795</v>
      </c>
      <c r="AG34">
        <v>84.41</v>
      </c>
      <c r="AH34" s="46">
        <v>3369157</v>
      </c>
      <c r="AI34">
        <v>86.09</v>
      </c>
    </row>
    <row r="35" spans="1:35">
      <c r="A35" s="216">
        <v>1227</v>
      </c>
      <c r="C35">
        <v>999</v>
      </c>
      <c r="D35">
        <v>6520</v>
      </c>
      <c r="E35">
        <v>3771</v>
      </c>
      <c r="F35">
        <v>13087</v>
      </c>
      <c r="G35">
        <v>1323</v>
      </c>
      <c r="H35" s="238">
        <v>0.1</v>
      </c>
      <c r="J35" s="228">
        <v>7.0000000000000007E-2</v>
      </c>
      <c r="L35">
        <v>32</v>
      </c>
      <c r="M35">
        <v>97.76</v>
      </c>
      <c r="O35" s="46"/>
      <c r="P35" s="46"/>
      <c r="Q35" s="46"/>
      <c r="R35" s="46"/>
      <c r="S35" s="46"/>
      <c r="T35" s="46"/>
      <c r="U35" s="46"/>
      <c r="V35" s="46"/>
      <c r="AB35">
        <v>2.0299999999999998</v>
      </c>
      <c r="AC35" s="46">
        <v>23792</v>
      </c>
      <c r="AE35">
        <v>1.78</v>
      </c>
      <c r="AF35" s="46">
        <v>82836</v>
      </c>
      <c r="AG35">
        <v>2.11</v>
      </c>
      <c r="AH35" s="46">
        <v>70929</v>
      </c>
      <c r="AI35">
        <v>1.81</v>
      </c>
    </row>
    <row r="36" spans="1:35">
      <c r="A36" s="216">
        <v>1541</v>
      </c>
      <c r="C36">
        <v>109</v>
      </c>
      <c r="D36">
        <v>549</v>
      </c>
      <c r="E36">
        <v>500</v>
      </c>
      <c r="F36">
        <v>1134</v>
      </c>
      <c r="G36">
        <v>469</v>
      </c>
      <c r="H36" s="238">
        <v>0.1</v>
      </c>
      <c r="J36" s="228">
        <v>7.0000000000000007E-2</v>
      </c>
      <c r="L36">
        <v>32</v>
      </c>
      <c r="M36">
        <v>97.7</v>
      </c>
      <c r="O36" s="46"/>
      <c r="P36" s="46"/>
      <c r="Q36" s="46"/>
      <c r="R36" s="46"/>
      <c r="S36" s="46"/>
      <c r="T36" s="46"/>
      <c r="U36" s="46"/>
      <c r="V36" s="46"/>
      <c r="AB36">
        <v>84.46</v>
      </c>
      <c r="AC36" s="46">
        <v>1168562</v>
      </c>
      <c r="AE36">
        <v>87.48</v>
      </c>
      <c r="AF36" s="46">
        <v>3398631</v>
      </c>
      <c r="AG36">
        <v>86.52</v>
      </c>
      <c r="AH36" s="46">
        <v>3440086</v>
      </c>
      <c r="AI36">
        <v>87.9</v>
      </c>
    </row>
    <row r="37" spans="1:35">
      <c r="A37" s="216">
        <v>8114</v>
      </c>
      <c r="C37">
        <v>195</v>
      </c>
      <c r="D37">
        <v>1122</v>
      </c>
      <c r="E37">
        <v>1180</v>
      </c>
      <c r="F37">
        <v>1688</v>
      </c>
      <c r="G37">
        <v>500</v>
      </c>
      <c r="H37" s="238">
        <v>0.08</v>
      </c>
      <c r="J37" s="228">
        <v>0.09</v>
      </c>
      <c r="L37">
        <v>34</v>
      </c>
      <c r="M37">
        <v>97.63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216">
        <v>1477</v>
      </c>
      <c r="C38">
        <v>717</v>
      </c>
      <c r="D38">
        <v>3535</v>
      </c>
      <c r="E38">
        <v>4586</v>
      </c>
      <c r="F38">
        <v>8649</v>
      </c>
      <c r="G38">
        <v>1394</v>
      </c>
      <c r="H38" s="238">
        <v>0.09</v>
      </c>
      <c r="J38" s="228">
        <v>7.0000000000000007E-2</v>
      </c>
      <c r="L38">
        <v>36</v>
      </c>
      <c r="M38">
        <v>97.56</v>
      </c>
      <c r="O38" s="46"/>
      <c r="P38" s="46"/>
      <c r="Q38" s="46"/>
      <c r="R38" s="46"/>
      <c r="S38" s="46"/>
      <c r="T38" s="46"/>
      <c r="U38" s="46"/>
      <c r="V38" s="46"/>
      <c r="AB38">
        <v>15.54</v>
      </c>
      <c r="AC38" s="46">
        <v>167247</v>
      </c>
      <c r="AE38">
        <v>12.52</v>
      </c>
      <c r="AF38" s="46">
        <v>529379</v>
      </c>
      <c r="AG38">
        <v>13.48</v>
      </c>
      <c r="AH38" s="46">
        <v>473667</v>
      </c>
      <c r="AI38">
        <v>12.1</v>
      </c>
    </row>
    <row r="39" spans="1:35">
      <c r="A39" s="216">
        <v>1537</v>
      </c>
      <c r="C39">
        <v>267</v>
      </c>
      <c r="D39">
        <v>2117</v>
      </c>
      <c r="E39">
        <v>1124</v>
      </c>
      <c r="F39">
        <v>3229</v>
      </c>
      <c r="G39">
        <v>265</v>
      </c>
      <c r="H39" s="238">
        <v>0.08</v>
      </c>
      <c r="J39" s="228">
        <v>0.08</v>
      </c>
      <c r="L39">
        <v>36</v>
      </c>
      <c r="M39">
        <v>97.5</v>
      </c>
      <c r="O39" s="46"/>
      <c r="P39" s="46"/>
      <c r="Q39" s="46"/>
      <c r="R39" s="46"/>
      <c r="S39" s="46"/>
      <c r="T39" s="46"/>
      <c r="U39" s="46"/>
      <c r="V39" s="46"/>
      <c r="AC39" s="46"/>
      <c r="AF39" s="46"/>
      <c r="AH39" s="46"/>
    </row>
    <row r="40" spans="1:35">
      <c r="A40" s="216">
        <v>2707</v>
      </c>
      <c r="C40">
        <v>301</v>
      </c>
      <c r="D40">
        <v>0</v>
      </c>
      <c r="E40">
        <v>3225</v>
      </c>
      <c r="F40">
        <v>3540</v>
      </c>
      <c r="G40">
        <v>542</v>
      </c>
      <c r="H40" s="238">
        <v>0.09</v>
      </c>
      <c r="J40" s="228">
        <v>7.0000000000000007E-2</v>
      </c>
      <c r="L40">
        <v>36</v>
      </c>
      <c r="M40">
        <v>97.43</v>
      </c>
      <c r="O40" s="46"/>
      <c r="P40" s="46"/>
      <c r="Q40" s="46"/>
      <c r="R40" s="46"/>
      <c r="S40" s="46"/>
      <c r="T40" s="46"/>
      <c r="U40" s="46"/>
      <c r="V40" s="46"/>
      <c r="AB40">
        <v>6.1</v>
      </c>
      <c r="AC40" s="46">
        <v>51741</v>
      </c>
      <c r="AE40">
        <v>3.87</v>
      </c>
      <c r="AF40" s="46">
        <v>213182</v>
      </c>
      <c r="AG40">
        <v>5.43</v>
      </c>
      <c r="AH40" s="46">
        <v>157701</v>
      </c>
      <c r="AI40">
        <v>4.03</v>
      </c>
    </row>
    <row r="41" spans="1:35">
      <c r="A41" s="216">
        <v>1232</v>
      </c>
      <c r="C41">
        <v>266</v>
      </c>
      <c r="D41">
        <v>2751</v>
      </c>
      <c r="E41">
        <v>564</v>
      </c>
      <c r="F41">
        <v>3471</v>
      </c>
      <c r="G41">
        <v>172</v>
      </c>
      <c r="H41" s="238">
        <v>0.08</v>
      </c>
      <c r="J41" s="228">
        <v>7.0000000000000007E-2</v>
      </c>
      <c r="L41">
        <v>41</v>
      </c>
      <c r="M41">
        <v>97.37</v>
      </c>
      <c r="O41" s="46"/>
      <c r="P41" s="46"/>
      <c r="Q41" s="46"/>
      <c r="R41" s="46"/>
      <c r="S41" s="46"/>
      <c r="T41" s="46"/>
      <c r="U41" s="46"/>
      <c r="V41" s="46"/>
      <c r="AB41">
        <v>2.79</v>
      </c>
      <c r="AC41" s="46">
        <v>68003</v>
      </c>
      <c r="AE41">
        <v>5.09</v>
      </c>
      <c r="AF41" s="46">
        <v>115741</v>
      </c>
      <c r="AG41">
        <v>2.95</v>
      </c>
      <c r="AH41" s="46">
        <v>153260</v>
      </c>
      <c r="AI41">
        <v>3.92</v>
      </c>
    </row>
    <row r="42" spans="1:35">
      <c r="A42" s="216">
        <v>1558</v>
      </c>
      <c r="C42">
        <v>319</v>
      </c>
      <c r="D42">
        <v>2664</v>
      </c>
      <c r="E42">
        <v>1442</v>
      </c>
      <c r="F42">
        <v>4220</v>
      </c>
      <c r="G42">
        <v>430</v>
      </c>
      <c r="H42" s="238">
        <v>0.08</v>
      </c>
      <c r="J42" s="228">
        <v>7.0000000000000007E-2</v>
      </c>
      <c r="L42">
        <v>41</v>
      </c>
      <c r="M42">
        <v>97.3</v>
      </c>
      <c r="O42" s="46"/>
      <c r="P42" s="46"/>
      <c r="Q42" s="46"/>
      <c r="R42" s="46"/>
      <c r="S42" s="46"/>
      <c r="T42" s="46"/>
      <c r="U42" s="46"/>
      <c r="V42" s="46"/>
      <c r="AB42">
        <v>0.5</v>
      </c>
      <c r="AC42" s="46">
        <v>5851</v>
      </c>
      <c r="AE42">
        <v>0.44</v>
      </c>
      <c r="AF42" s="46">
        <v>20041</v>
      </c>
      <c r="AG42">
        <v>0.51</v>
      </c>
      <c r="AH42" s="46">
        <v>19415</v>
      </c>
      <c r="AI42">
        <v>0.5</v>
      </c>
    </row>
    <row r="43" spans="1:35">
      <c r="A43" s="216">
        <v>2723</v>
      </c>
      <c r="C43">
        <v>525</v>
      </c>
      <c r="D43">
        <v>1377</v>
      </c>
      <c r="E43">
        <v>5476</v>
      </c>
      <c r="F43">
        <v>7527</v>
      </c>
      <c r="G43">
        <v>86</v>
      </c>
      <c r="H43" s="238">
        <v>0.08</v>
      </c>
      <c r="J43" s="228">
        <v>7.0000000000000007E-2</v>
      </c>
      <c r="L43">
        <v>41</v>
      </c>
      <c r="M43">
        <v>97.24</v>
      </c>
      <c r="O43" s="46"/>
      <c r="P43" s="46"/>
      <c r="Q43" s="46"/>
      <c r="R43" s="46"/>
      <c r="S43" s="46"/>
      <c r="T43" s="46"/>
      <c r="U43" s="46"/>
      <c r="V43" s="46"/>
      <c r="AB43">
        <v>9.39</v>
      </c>
      <c r="AC43" s="46">
        <v>125595</v>
      </c>
      <c r="AE43">
        <v>9.4</v>
      </c>
      <c r="AF43" s="46">
        <v>348964</v>
      </c>
      <c r="AG43">
        <v>8.8800000000000008</v>
      </c>
      <c r="AH43" s="46">
        <v>330376</v>
      </c>
      <c r="AI43">
        <v>8.44</v>
      </c>
    </row>
    <row r="44" spans="1:35">
      <c r="A44" s="216">
        <v>4947</v>
      </c>
      <c r="C44">
        <v>191</v>
      </c>
      <c r="D44">
        <v>2113</v>
      </c>
      <c r="E44">
        <v>326</v>
      </c>
      <c r="F44">
        <v>2595</v>
      </c>
      <c r="G44">
        <v>20</v>
      </c>
      <c r="H44" s="238">
        <v>0.08</v>
      </c>
      <c r="J44" s="228">
        <v>7.0000000000000007E-2</v>
      </c>
      <c r="L44">
        <v>41</v>
      </c>
      <c r="M44">
        <v>97.17</v>
      </c>
      <c r="O44" s="46"/>
      <c r="P44" s="46"/>
      <c r="Q44" s="46"/>
      <c r="R44" s="46"/>
      <c r="S44" s="46"/>
      <c r="T44" s="46"/>
      <c r="U44" s="46"/>
      <c r="V44" s="46"/>
      <c r="AB44">
        <v>6.15</v>
      </c>
      <c r="AC44" s="46">
        <v>41652</v>
      </c>
      <c r="AE44">
        <v>3.12</v>
      </c>
      <c r="AF44" s="46">
        <v>180415</v>
      </c>
      <c r="AG44">
        <v>4.59</v>
      </c>
      <c r="AH44" s="46">
        <v>143291</v>
      </c>
      <c r="AI44">
        <v>3.66</v>
      </c>
    </row>
    <row r="45" spans="1:35">
      <c r="A45" s="216">
        <v>8916</v>
      </c>
      <c r="C45">
        <v>304</v>
      </c>
      <c r="D45">
        <v>2306</v>
      </c>
      <c r="E45">
        <v>1287</v>
      </c>
      <c r="F45">
        <v>3266</v>
      </c>
      <c r="G45">
        <v>1362</v>
      </c>
      <c r="H45" s="238">
        <v>0.08</v>
      </c>
      <c r="J45" s="228">
        <v>7.0000000000000007E-2</v>
      </c>
      <c r="L45">
        <v>41</v>
      </c>
      <c r="M45">
        <v>97.1</v>
      </c>
      <c r="O45" s="46"/>
      <c r="P45" s="46"/>
      <c r="Q45" s="46"/>
      <c r="R45" s="46"/>
      <c r="S45" s="46"/>
      <c r="T45" s="46"/>
      <c r="U45" s="46"/>
      <c r="V45" s="46"/>
      <c r="AC45" s="46"/>
      <c r="AF45" s="46"/>
      <c r="AH45" s="46"/>
    </row>
    <row r="46" spans="1:35">
      <c r="A46" s="216">
        <v>9951</v>
      </c>
      <c r="C46">
        <v>182</v>
      </c>
      <c r="D46">
        <v>1131</v>
      </c>
      <c r="E46">
        <v>1427</v>
      </c>
      <c r="F46">
        <v>1904</v>
      </c>
      <c r="G46">
        <v>56</v>
      </c>
      <c r="H46" s="238">
        <v>7.0000000000000007E-2</v>
      </c>
      <c r="J46" s="228">
        <v>0.09</v>
      </c>
      <c r="L46">
        <v>41</v>
      </c>
      <c r="M46">
        <v>97.04</v>
      </c>
      <c r="O46" s="46"/>
      <c r="P46" s="46"/>
      <c r="Q46" s="46"/>
      <c r="R46" s="46"/>
      <c r="S46" s="46"/>
      <c r="T46" s="46"/>
      <c r="U46" s="46"/>
      <c r="V46" s="46"/>
      <c r="AB46">
        <v>10.48</v>
      </c>
      <c r="AC46" s="46">
        <v>121772</v>
      </c>
      <c r="AE46">
        <v>9.1199999999999992</v>
      </c>
      <c r="AF46" s="46">
        <v>148672</v>
      </c>
      <c r="AG46">
        <v>3.78</v>
      </c>
      <c r="AH46" s="46">
        <v>126677</v>
      </c>
      <c r="AI46">
        <v>3.24</v>
      </c>
    </row>
    <row r="47" spans="1:35">
      <c r="A47" s="216">
        <v>6803</v>
      </c>
      <c r="C47">
        <v>246</v>
      </c>
      <c r="D47">
        <v>1709</v>
      </c>
      <c r="E47">
        <v>51</v>
      </c>
      <c r="F47">
        <v>4734</v>
      </c>
      <c r="G47">
        <v>162</v>
      </c>
      <c r="H47" s="238">
        <v>0.14000000000000001</v>
      </c>
      <c r="J47" s="228">
        <v>0.05</v>
      </c>
      <c r="L47">
        <v>42</v>
      </c>
      <c r="M47">
        <v>96.97</v>
      </c>
      <c r="O47" s="46"/>
      <c r="P47" s="46"/>
      <c r="Q47" s="46"/>
      <c r="R47" s="46"/>
      <c r="S47" s="46"/>
      <c r="T47" s="46"/>
      <c r="U47" s="46"/>
      <c r="V47" s="46"/>
      <c r="AB47">
        <v>0.15</v>
      </c>
      <c r="AC47" s="46">
        <v>5869</v>
      </c>
      <c r="AE47">
        <v>0.44</v>
      </c>
      <c r="AF47" s="46">
        <v>-4493</v>
      </c>
      <c r="AG47">
        <v>-0.11</v>
      </c>
      <c r="AH47" s="46">
        <v>19857</v>
      </c>
      <c r="AI47">
        <v>0.51</v>
      </c>
    </row>
    <row r="48" spans="1:35">
      <c r="A48" s="216">
        <v>5225</v>
      </c>
      <c r="C48">
        <v>157</v>
      </c>
      <c r="D48">
        <v>499</v>
      </c>
      <c r="E48">
        <v>1201</v>
      </c>
      <c r="F48">
        <v>1691</v>
      </c>
      <c r="G48">
        <v>1019</v>
      </c>
      <c r="H48" s="238">
        <v>0.09</v>
      </c>
      <c r="J48" s="228">
        <v>0.06</v>
      </c>
      <c r="L48">
        <v>43</v>
      </c>
      <c r="M48">
        <v>96.91</v>
      </c>
      <c r="O48" s="46"/>
      <c r="P48" s="46"/>
      <c r="Q48" s="46"/>
      <c r="R48" s="46"/>
      <c r="S48" s="46"/>
      <c r="T48" s="46"/>
      <c r="U48" s="46"/>
      <c r="V48" s="46"/>
      <c r="AB48">
        <v>0.77</v>
      </c>
      <c r="AC48" s="46">
        <v>12068</v>
      </c>
      <c r="AE48">
        <v>0.9</v>
      </c>
      <c r="AF48" s="46">
        <v>31085</v>
      </c>
      <c r="AG48">
        <v>0.79</v>
      </c>
      <c r="AH48" s="46">
        <v>35801</v>
      </c>
      <c r="AI48">
        <v>0.91</v>
      </c>
    </row>
    <row r="49" spans="1:35">
      <c r="A49" s="216">
        <v>4987</v>
      </c>
      <c r="C49">
        <v>66</v>
      </c>
      <c r="D49">
        <v>550</v>
      </c>
      <c r="E49">
        <v>390</v>
      </c>
      <c r="F49">
        <v>852</v>
      </c>
      <c r="G49">
        <v>24</v>
      </c>
      <c r="H49" s="238">
        <v>7.0000000000000007E-2</v>
      </c>
      <c r="J49" s="228">
        <v>0.08</v>
      </c>
      <c r="L49">
        <v>44</v>
      </c>
      <c r="M49">
        <v>96.84</v>
      </c>
      <c r="O49" s="46"/>
      <c r="P49" s="46"/>
      <c r="Q49" s="46"/>
      <c r="R49" s="46"/>
      <c r="S49" s="46"/>
      <c r="T49" s="46"/>
      <c r="U49" s="46"/>
      <c r="V49" s="46"/>
      <c r="AB49">
        <v>8.1999999999999993</v>
      </c>
      <c r="AC49" s="46">
        <v>270829</v>
      </c>
      <c r="AE49">
        <v>20.27</v>
      </c>
      <c r="AF49" s="46">
        <v>1058540</v>
      </c>
      <c r="AG49">
        <v>26.95</v>
      </c>
      <c r="AH49" s="46">
        <v>1358965</v>
      </c>
      <c r="AI49">
        <v>34.72</v>
      </c>
    </row>
    <row r="50" spans="1:35">
      <c r="A50" s="216">
        <v>1817</v>
      </c>
      <c r="C50">
        <v>93</v>
      </c>
      <c r="D50">
        <v>577</v>
      </c>
      <c r="E50">
        <v>589</v>
      </c>
      <c r="F50">
        <v>1420</v>
      </c>
      <c r="G50">
        <v>50</v>
      </c>
      <c r="H50" s="238">
        <v>0.08</v>
      </c>
      <c r="J50" s="228">
        <v>0.06</v>
      </c>
      <c r="L50">
        <v>48</v>
      </c>
      <c r="M50">
        <v>96.77</v>
      </c>
      <c r="O50" s="46"/>
      <c r="P50" s="46"/>
      <c r="Q50" s="46"/>
      <c r="R50" s="46"/>
      <c r="S50" s="46"/>
      <c r="T50" s="46"/>
      <c r="U50" s="46"/>
      <c r="V50" s="46"/>
      <c r="AB50">
        <v>18.059999999999999</v>
      </c>
      <c r="AC50" s="46">
        <v>386402</v>
      </c>
      <c r="AE50">
        <v>28.93</v>
      </c>
      <c r="AF50" s="46">
        <v>1171634</v>
      </c>
      <c r="AG50">
        <v>29.83</v>
      </c>
      <c r="AH50" s="46">
        <v>1469698</v>
      </c>
      <c r="AI50">
        <v>37.549999999999997</v>
      </c>
    </row>
    <row r="51" spans="1:35">
      <c r="A51" s="216">
        <v>2420</v>
      </c>
      <c r="C51">
        <v>179</v>
      </c>
      <c r="D51">
        <v>826</v>
      </c>
      <c r="E51">
        <v>1466</v>
      </c>
      <c r="F51">
        <v>2681</v>
      </c>
      <c r="G51">
        <v>408</v>
      </c>
      <c r="H51" s="238">
        <v>0.08</v>
      </c>
      <c r="J51" s="228">
        <v>0.06</v>
      </c>
      <c r="L51">
        <v>48</v>
      </c>
      <c r="M51">
        <v>96.71</v>
      </c>
      <c r="P51" s="46"/>
      <c r="AB51">
        <v>24.21</v>
      </c>
      <c r="AC51" s="46">
        <v>428054</v>
      </c>
      <c r="AE51">
        <v>32.04</v>
      </c>
      <c r="AF51" s="46">
        <v>1352049</v>
      </c>
      <c r="AG51">
        <v>34.42</v>
      </c>
      <c r="AH51" s="46">
        <v>1612989</v>
      </c>
      <c r="AI51">
        <v>41.21</v>
      </c>
    </row>
    <row r="52" spans="1:35">
      <c r="A52" s="216">
        <v>3045</v>
      </c>
      <c r="C52">
        <v>5339</v>
      </c>
      <c r="D52">
        <v>0</v>
      </c>
      <c r="E52">
        <v>47848</v>
      </c>
      <c r="F52">
        <v>61617</v>
      </c>
      <c r="G52">
        <v>42370</v>
      </c>
      <c r="H52" s="238">
        <v>0.11</v>
      </c>
      <c r="J52" s="228">
        <v>0.05</v>
      </c>
      <c r="L52">
        <v>48</v>
      </c>
      <c r="M52">
        <v>96.64</v>
      </c>
      <c r="O52" s="46"/>
      <c r="P52" s="46"/>
      <c r="Q52" s="46"/>
      <c r="R52" s="46"/>
      <c r="S52" s="46"/>
      <c r="T52" s="46"/>
      <c r="U52" s="46"/>
      <c r="V52" s="46"/>
      <c r="AB52">
        <v>0.54</v>
      </c>
      <c r="AC52" s="46">
        <v>10486</v>
      </c>
      <c r="AE52">
        <v>0.78</v>
      </c>
      <c r="AF52" s="46">
        <v>31091</v>
      </c>
      <c r="AG52">
        <v>0.79</v>
      </c>
      <c r="AH52" s="46">
        <v>77489</v>
      </c>
      <c r="AI52">
        <v>1.98</v>
      </c>
    </row>
    <row r="53" spans="1:35">
      <c r="A53" s="216">
        <v>9917</v>
      </c>
      <c r="C53">
        <v>657</v>
      </c>
      <c r="D53">
        <v>0</v>
      </c>
      <c r="E53">
        <v>6062</v>
      </c>
      <c r="F53">
        <v>10631</v>
      </c>
      <c r="G53">
        <v>3357</v>
      </c>
      <c r="H53" s="238">
        <v>0.11</v>
      </c>
      <c r="J53" s="228">
        <v>0.05</v>
      </c>
      <c r="L53">
        <v>48</v>
      </c>
      <c r="M53">
        <v>96.58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216">
        <v>2926</v>
      </c>
      <c r="C54">
        <v>106</v>
      </c>
      <c r="D54">
        <v>411</v>
      </c>
      <c r="E54">
        <v>1034</v>
      </c>
      <c r="F54">
        <v>1454</v>
      </c>
      <c r="G54">
        <v>119</v>
      </c>
      <c r="H54" s="238">
        <v>7.0000000000000007E-2</v>
      </c>
      <c r="J54" s="228">
        <v>7.0000000000000007E-2</v>
      </c>
      <c r="L54">
        <v>48</v>
      </c>
      <c r="M54">
        <v>96.51</v>
      </c>
      <c r="O54" s="46"/>
      <c r="P54" s="46"/>
      <c r="Q54" s="46"/>
      <c r="R54" s="46"/>
      <c r="S54" s="46"/>
      <c r="T54" s="46"/>
      <c r="U54" s="46"/>
      <c r="V54" s="46"/>
      <c r="AB54">
        <v>23.67</v>
      </c>
      <c r="AC54" s="46">
        <v>417568</v>
      </c>
      <c r="AE54">
        <v>31.26</v>
      </c>
      <c r="AF54" s="46">
        <v>1320958</v>
      </c>
      <c r="AG54">
        <v>33.630000000000003</v>
      </c>
      <c r="AH54" s="46">
        <v>1535500</v>
      </c>
      <c r="AI54">
        <v>39.229999999999997</v>
      </c>
    </row>
    <row r="55" spans="1:35">
      <c r="A55" s="216">
        <v>3528</v>
      </c>
      <c r="C55">
        <v>86</v>
      </c>
      <c r="D55">
        <v>831</v>
      </c>
      <c r="E55">
        <v>16</v>
      </c>
      <c r="F55">
        <v>1171</v>
      </c>
      <c r="G55">
        <v>706</v>
      </c>
      <c r="H55" s="238">
        <v>0.1</v>
      </c>
      <c r="J55" s="228">
        <v>0.05</v>
      </c>
      <c r="L55">
        <v>50</v>
      </c>
      <c r="M55">
        <v>96.45</v>
      </c>
      <c r="O55" s="46"/>
      <c r="P55" s="46"/>
      <c r="Q55" s="46"/>
      <c r="R55" s="46"/>
      <c r="S55" s="46"/>
      <c r="T55" s="46"/>
      <c r="U55" s="46"/>
      <c r="V55" s="46"/>
      <c r="AC55" s="46"/>
      <c r="AF55" s="46"/>
      <c r="AH55" s="46"/>
    </row>
    <row r="56" spans="1:35">
      <c r="A56" s="216">
        <v>5206</v>
      </c>
      <c r="C56">
        <v>193</v>
      </c>
      <c r="D56">
        <v>1879</v>
      </c>
      <c r="E56">
        <v>11</v>
      </c>
      <c r="F56">
        <v>1915</v>
      </c>
      <c r="G56">
        <v>1925</v>
      </c>
      <c r="H56" s="238">
        <v>0.1</v>
      </c>
      <c r="J56" s="228">
        <v>0.05</v>
      </c>
      <c r="L56">
        <v>50</v>
      </c>
      <c r="M56">
        <v>96.38</v>
      </c>
      <c r="P56" s="46"/>
      <c r="AB56">
        <v>5.14</v>
      </c>
      <c r="AC56" s="46">
        <v>33220</v>
      </c>
      <c r="AE56">
        <v>2.4900000000000002</v>
      </c>
      <c r="AF56" s="46">
        <v>34398</v>
      </c>
      <c r="AG56">
        <v>0.88</v>
      </c>
      <c r="AH56" s="46">
        <v>10642</v>
      </c>
      <c r="AI56">
        <v>0.27</v>
      </c>
    </row>
    <row r="57" spans="1:35">
      <c r="A57" s="216">
        <v>1539</v>
      </c>
      <c r="C57">
        <v>84</v>
      </c>
      <c r="D57">
        <v>423</v>
      </c>
      <c r="E57">
        <v>729</v>
      </c>
      <c r="F57">
        <v>971</v>
      </c>
      <c r="G57">
        <v>540</v>
      </c>
      <c r="H57" s="238">
        <v>7.0000000000000007E-2</v>
      </c>
      <c r="J57" s="228">
        <v>0.06</v>
      </c>
      <c r="L57">
        <v>56</v>
      </c>
      <c r="M57">
        <v>96.31</v>
      </c>
      <c r="O57" s="46"/>
      <c r="P57" s="46"/>
      <c r="Q57" s="46"/>
      <c r="R57" s="46"/>
      <c r="S57" s="46"/>
      <c r="T57" s="46"/>
      <c r="U57" s="46"/>
      <c r="V57" s="46"/>
      <c r="AB57">
        <v>-72.680000000000007</v>
      </c>
      <c r="AC57" s="46">
        <v>-225052</v>
      </c>
      <c r="AE57">
        <v>-16.850000000000001</v>
      </c>
      <c r="AF57" s="46">
        <v>-700117</v>
      </c>
      <c r="AG57">
        <v>-17.82</v>
      </c>
      <c r="AH57" s="46">
        <v>-81755</v>
      </c>
      <c r="AI57">
        <v>-2.09</v>
      </c>
    </row>
    <row r="58" spans="1:35">
      <c r="A58" s="216">
        <v>2395</v>
      </c>
      <c r="C58">
        <v>1326</v>
      </c>
      <c r="D58">
        <v>9961</v>
      </c>
      <c r="E58">
        <v>9519</v>
      </c>
      <c r="F58">
        <v>22301</v>
      </c>
      <c r="G58">
        <v>84</v>
      </c>
      <c r="H58" s="238">
        <v>7.0000000000000007E-2</v>
      </c>
      <c r="J58" s="228">
        <v>0.06</v>
      </c>
      <c r="L58">
        <v>56</v>
      </c>
      <c r="M58">
        <v>96.25</v>
      </c>
      <c r="O58" s="46"/>
      <c r="P58" s="46"/>
      <c r="Q58" s="46"/>
      <c r="R58" s="46"/>
      <c r="S58" s="46"/>
      <c r="T58" s="46"/>
      <c r="U58" s="46"/>
      <c r="V58" s="46"/>
      <c r="AB58">
        <v>-103.36</v>
      </c>
      <c r="AC58" s="46">
        <v>-707416</v>
      </c>
      <c r="AE58">
        <v>-52.96</v>
      </c>
      <c r="AF58" s="46">
        <v>-1186399</v>
      </c>
      <c r="AG58">
        <v>-30.2</v>
      </c>
      <c r="AH58" s="46">
        <v>-571899</v>
      </c>
      <c r="AI58">
        <v>-14.61</v>
      </c>
    </row>
    <row r="59" spans="1:35">
      <c r="A59" s="216">
        <v>2474</v>
      </c>
      <c r="C59">
        <v>7667</v>
      </c>
      <c r="D59">
        <v>50898</v>
      </c>
      <c r="E59">
        <v>58185</v>
      </c>
      <c r="F59">
        <v>110742</v>
      </c>
      <c r="G59">
        <v>21849</v>
      </c>
      <c r="H59" s="238">
        <v>7.0000000000000007E-2</v>
      </c>
      <c r="J59" s="228">
        <v>0.06</v>
      </c>
      <c r="L59">
        <v>56</v>
      </c>
      <c r="M59">
        <v>96.18</v>
      </c>
      <c r="P59" s="46"/>
      <c r="AB59">
        <v>0</v>
      </c>
      <c r="AC59" s="46">
        <v>0</v>
      </c>
      <c r="AE59">
        <v>0</v>
      </c>
      <c r="AF59" s="46">
        <v>0</v>
      </c>
      <c r="AG59">
        <v>0</v>
      </c>
      <c r="AH59" s="46">
        <v>0</v>
      </c>
      <c r="AI59">
        <v>0</v>
      </c>
    </row>
    <row r="60" spans="1:35">
      <c r="A60" s="216">
        <v>5288</v>
      </c>
      <c r="C60">
        <v>147</v>
      </c>
      <c r="D60">
        <v>1502</v>
      </c>
      <c r="E60">
        <v>678</v>
      </c>
      <c r="F60">
        <v>2343</v>
      </c>
      <c r="G60">
        <v>64</v>
      </c>
      <c r="H60" s="238">
        <v>7.0000000000000007E-2</v>
      </c>
      <c r="J60" s="228">
        <v>0.06</v>
      </c>
      <c r="L60">
        <v>56</v>
      </c>
      <c r="M60">
        <v>96.12</v>
      </c>
      <c r="O60" s="46"/>
      <c r="P60" s="46"/>
      <c r="Q60" s="46"/>
      <c r="R60" s="46"/>
      <c r="S60" s="46"/>
      <c r="T60" s="46"/>
      <c r="U60" s="46"/>
      <c r="V60" s="46"/>
      <c r="AB60">
        <v>-170.9</v>
      </c>
      <c r="AC60" s="46">
        <v>-899248</v>
      </c>
      <c r="AE60">
        <v>-67.319999999999993</v>
      </c>
      <c r="AF60" s="46">
        <v>-1852118</v>
      </c>
      <c r="AG60">
        <v>-47.15</v>
      </c>
      <c r="AH60" s="46">
        <v>-643012</v>
      </c>
      <c r="AI60">
        <v>-16.43</v>
      </c>
    </row>
    <row r="61" spans="1:35">
      <c r="A61" s="216">
        <v>6286</v>
      </c>
      <c r="C61">
        <v>473</v>
      </c>
      <c r="D61">
        <v>3925</v>
      </c>
      <c r="E61">
        <v>2884</v>
      </c>
      <c r="F61">
        <v>7294</v>
      </c>
      <c r="G61">
        <v>35</v>
      </c>
      <c r="H61" s="238">
        <v>7.0000000000000007E-2</v>
      </c>
      <c r="J61" s="228">
        <v>0.06</v>
      </c>
      <c r="L61">
        <v>56</v>
      </c>
      <c r="M61">
        <v>96.05</v>
      </c>
      <c r="O61" s="46"/>
      <c r="P61" s="46"/>
      <c r="Q61" s="46"/>
      <c r="R61" s="46"/>
      <c r="S61" s="46"/>
      <c r="T61" s="46"/>
      <c r="U61" s="46"/>
      <c r="V61" s="46"/>
      <c r="AB61">
        <v>-147.22999999999999</v>
      </c>
      <c r="AC61" s="46">
        <v>-481680</v>
      </c>
      <c r="AE61">
        <v>-36.06</v>
      </c>
      <c r="AF61" s="46">
        <v>-531160</v>
      </c>
      <c r="AG61">
        <v>-13.52</v>
      </c>
      <c r="AH61" s="46">
        <v>892488</v>
      </c>
      <c r="AI61">
        <v>22.8</v>
      </c>
    </row>
    <row r="62" spans="1:35">
      <c r="A62" s="216">
        <v>6504</v>
      </c>
      <c r="C62">
        <v>189</v>
      </c>
      <c r="D62">
        <v>826</v>
      </c>
      <c r="E62">
        <v>1826</v>
      </c>
      <c r="F62">
        <v>2629</v>
      </c>
      <c r="G62">
        <v>618</v>
      </c>
      <c r="H62" s="238">
        <v>7.0000000000000007E-2</v>
      </c>
      <c r="J62" s="228">
        <v>0.06</v>
      </c>
      <c r="L62">
        <v>56</v>
      </c>
      <c r="M62">
        <v>95.98</v>
      </c>
      <c r="O62" s="46"/>
      <c r="P62" s="46"/>
      <c r="Q62" s="46"/>
      <c r="R62" s="46"/>
      <c r="S62" s="46"/>
      <c r="T62" s="46"/>
      <c r="U62" s="46"/>
      <c r="V62" s="46"/>
      <c r="AB62">
        <v>23.96</v>
      </c>
      <c r="AC62" s="46">
        <v>429926</v>
      </c>
      <c r="AE62">
        <v>32.18</v>
      </c>
      <c r="AF62" s="46">
        <v>1323690</v>
      </c>
      <c r="AG62">
        <v>33.700000000000003</v>
      </c>
      <c r="AH62" s="46">
        <v>1559458</v>
      </c>
      <c r="AI62">
        <v>39.85</v>
      </c>
    </row>
    <row r="63" spans="1:35">
      <c r="A63" s="216">
        <v>3428</v>
      </c>
      <c r="C63">
        <v>162</v>
      </c>
      <c r="D63">
        <v>737</v>
      </c>
      <c r="E63">
        <v>1463</v>
      </c>
      <c r="F63">
        <v>2335</v>
      </c>
      <c r="G63">
        <v>380</v>
      </c>
      <c r="H63" s="238">
        <v>7.0000000000000007E-2</v>
      </c>
      <c r="J63" s="228">
        <v>0.06</v>
      </c>
      <c r="L63">
        <v>56</v>
      </c>
      <c r="M63">
        <v>95.92</v>
      </c>
      <c r="P63" s="46"/>
      <c r="AB63">
        <v>-0.28999999999999998</v>
      </c>
      <c r="AC63" s="46">
        <v>-12358</v>
      </c>
      <c r="AE63">
        <v>-0.93</v>
      </c>
      <c r="AF63" s="46">
        <v>-2732</v>
      </c>
      <c r="AG63">
        <v>-7.0000000000000007E-2</v>
      </c>
      <c r="AH63" s="46">
        <v>-23958</v>
      </c>
      <c r="AI63">
        <v>-0.61</v>
      </c>
    </row>
    <row r="64" spans="1:35">
      <c r="A64" s="216">
        <v>5903</v>
      </c>
      <c r="C64">
        <v>494</v>
      </c>
      <c r="D64">
        <v>0</v>
      </c>
      <c r="E64">
        <v>8578</v>
      </c>
      <c r="F64">
        <v>4763</v>
      </c>
      <c r="G64">
        <v>1621</v>
      </c>
      <c r="H64" s="238">
        <v>0.06</v>
      </c>
      <c r="J64" s="228">
        <v>0.08</v>
      </c>
      <c r="L64">
        <v>56</v>
      </c>
      <c r="M64">
        <v>95.85</v>
      </c>
      <c r="P64" s="46"/>
      <c r="AB64">
        <v>-147.11000000000001</v>
      </c>
      <c r="AC64" s="46">
        <v>-471011</v>
      </c>
      <c r="AE64">
        <v>-35.26</v>
      </c>
      <c r="AF64" s="46">
        <v>-529420</v>
      </c>
      <c r="AG64">
        <v>-13.48</v>
      </c>
      <c r="AH64" s="46">
        <v>916418</v>
      </c>
      <c r="AI64">
        <v>23.42</v>
      </c>
    </row>
    <row r="65" spans="1:35">
      <c r="A65" s="216">
        <v>4904</v>
      </c>
      <c r="C65">
        <v>4238</v>
      </c>
      <c r="D65">
        <v>0</v>
      </c>
      <c r="E65">
        <v>51833</v>
      </c>
      <c r="F65">
        <v>70577</v>
      </c>
      <c r="G65">
        <v>12507</v>
      </c>
      <c r="H65" s="238">
        <v>0.08</v>
      </c>
      <c r="J65" s="228">
        <v>0.05</v>
      </c>
      <c r="L65">
        <v>59</v>
      </c>
      <c r="M65">
        <v>95.79</v>
      </c>
      <c r="P65" s="46"/>
      <c r="AB65">
        <v>-0.12</v>
      </c>
      <c r="AC65" s="46">
        <v>-10669</v>
      </c>
      <c r="AE65">
        <v>-0.8</v>
      </c>
      <c r="AF65" s="46">
        <v>-1740</v>
      </c>
      <c r="AG65">
        <v>-0.04</v>
      </c>
      <c r="AH65" s="46">
        <v>-23930</v>
      </c>
      <c r="AI65">
        <v>-0.61</v>
      </c>
    </row>
    <row r="66" spans="1:35">
      <c r="A66" s="216">
        <v>8016</v>
      </c>
      <c r="C66">
        <v>248</v>
      </c>
      <c r="D66">
        <v>2452</v>
      </c>
      <c r="E66">
        <v>677</v>
      </c>
      <c r="F66">
        <v>4130</v>
      </c>
      <c r="G66">
        <v>554</v>
      </c>
      <c r="H66" s="238">
        <v>0.08</v>
      </c>
      <c r="J66" s="228">
        <v>0.05</v>
      </c>
      <c r="L66">
        <v>59</v>
      </c>
      <c r="M66">
        <v>95.72</v>
      </c>
      <c r="P66" s="46"/>
      <c r="AC66" s="46"/>
      <c r="AF66" s="46"/>
      <c r="AH66" s="46"/>
    </row>
    <row r="67" spans="1:35">
      <c r="A67" s="216">
        <v>1536</v>
      </c>
      <c r="C67">
        <v>318</v>
      </c>
      <c r="D67">
        <v>1280</v>
      </c>
      <c r="E67">
        <v>4344</v>
      </c>
      <c r="F67">
        <v>3608</v>
      </c>
      <c r="G67">
        <v>863</v>
      </c>
      <c r="H67" s="238">
        <v>0.06</v>
      </c>
      <c r="J67" s="228">
        <v>7.0000000000000007E-2</v>
      </c>
      <c r="L67">
        <v>61</v>
      </c>
      <c r="M67">
        <v>95.66</v>
      </c>
      <c r="P67" s="46"/>
      <c r="AC67" s="46">
        <v>0.48</v>
      </c>
      <c r="AF67" s="46">
        <v>1.49</v>
      </c>
      <c r="AH67" s="46">
        <v>1.76</v>
      </c>
    </row>
    <row r="68" spans="1:35">
      <c r="A68" s="216">
        <v>2330</v>
      </c>
      <c r="C68">
        <v>79183</v>
      </c>
      <c r="D68">
        <v>491972</v>
      </c>
      <c r="E68">
        <v>830825</v>
      </c>
      <c r="F68">
        <v>1150995</v>
      </c>
      <c r="G68">
        <v>57080</v>
      </c>
      <c r="H68" s="238">
        <v>0.06</v>
      </c>
      <c r="J68" s="228">
        <v>7.0000000000000007E-2</v>
      </c>
      <c r="L68">
        <v>61</v>
      </c>
      <c r="M68">
        <v>95.59</v>
      </c>
      <c r="P68" s="46"/>
      <c r="AC68" s="46">
        <v>0.48</v>
      </c>
      <c r="AF68" s="46">
        <v>1.49</v>
      </c>
      <c r="AH68" s="46">
        <v>1.76</v>
      </c>
    </row>
    <row r="69" spans="1:35">
      <c r="A69" s="216">
        <v>2308</v>
      </c>
      <c r="C69">
        <v>6297</v>
      </c>
      <c r="D69">
        <v>50813</v>
      </c>
      <c r="E69">
        <v>41852</v>
      </c>
      <c r="F69">
        <v>100489</v>
      </c>
      <c r="G69">
        <v>18887</v>
      </c>
      <c r="H69" s="238">
        <v>7.0000000000000007E-2</v>
      </c>
      <c r="J69" s="228">
        <v>0.05</v>
      </c>
      <c r="L69">
        <v>66</v>
      </c>
      <c r="M69">
        <v>95.52</v>
      </c>
      <c r="P69" s="46"/>
      <c r="AC69" s="46"/>
      <c r="AF69" s="46"/>
      <c r="AH69" s="46"/>
    </row>
    <row r="70" spans="1:35">
      <c r="A70" s="216">
        <v>3034</v>
      </c>
      <c r="C70">
        <v>1695</v>
      </c>
      <c r="D70">
        <v>21151</v>
      </c>
      <c r="E70">
        <v>2051</v>
      </c>
      <c r="F70">
        <v>27033</v>
      </c>
      <c r="G70">
        <v>4799</v>
      </c>
      <c r="H70" s="238">
        <v>7.0000000000000007E-2</v>
      </c>
      <c r="J70" s="228">
        <v>0.05</v>
      </c>
      <c r="L70">
        <v>66</v>
      </c>
      <c r="M70">
        <v>95.46</v>
      </c>
      <c r="P70" s="46"/>
      <c r="AC70" s="46">
        <v>0.48</v>
      </c>
      <c r="AF70" s="46">
        <v>1.49</v>
      </c>
      <c r="AH70" s="46">
        <v>1.75</v>
      </c>
    </row>
    <row r="71" spans="1:35">
      <c r="A71" s="216">
        <v>5264</v>
      </c>
      <c r="C71">
        <v>1773</v>
      </c>
      <c r="D71">
        <v>11826</v>
      </c>
      <c r="E71">
        <v>15427</v>
      </c>
      <c r="F71">
        <v>29442</v>
      </c>
      <c r="G71">
        <v>4409</v>
      </c>
      <c r="H71" s="238">
        <v>7.0000000000000007E-2</v>
      </c>
      <c r="J71" s="228">
        <v>0.05</v>
      </c>
      <c r="L71">
        <v>66</v>
      </c>
      <c r="M71">
        <v>95.39</v>
      </c>
      <c r="P71" s="46"/>
      <c r="AC71" s="46">
        <v>0.48</v>
      </c>
      <c r="AF71" s="46">
        <v>1.49</v>
      </c>
      <c r="AH71" s="46">
        <v>1.75</v>
      </c>
    </row>
    <row r="72" spans="1:35">
      <c r="A72" s="216">
        <v>3092</v>
      </c>
      <c r="C72">
        <v>84</v>
      </c>
      <c r="D72">
        <v>558</v>
      </c>
      <c r="E72">
        <v>593</v>
      </c>
      <c r="F72">
        <v>1210</v>
      </c>
      <c r="G72">
        <v>640</v>
      </c>
      <c r="H72" s="238">
        <v>7.0000000000000007E-2</v>
      </c>
      <c r="J72" s="228">
        <v>0.05</v>
      </c>
      <c r="L72">
        <v>66</v>
      </c>
      <c r="M72">
        <v>95.33</v>
      </c>
      <c r="P72" s="46"/>
      <c r="AC72" s="46"/>
      <c r="AF72" s="46"/>
      <c r="AH72" s="46"/>
    </row>
    <row r="73" spans="1:35">
      <c r="A73" s="216">
        <v>3492</v>
      </c>
      <c r="C73">
        <v>28</v>
      </c>
      <c r="D73">
        <v>241</v>
      </c>
      <c r="E73">
        <v>159</v>
      </c>
      <c r="F73">
        <v>488</v>
      </c>
      <c r="G73">
        <v>53</v>
      </c>
      <c r="H73" s="238">
        <v>7.0000000000000007E-2</v>
      </c>
      <c r="J73" s="228">
        <v>0.05</v>
      </c>
      <c r="L73">
        <v>66</v>
      </c>
      <c r="M73">
        <v>95.26</v>
      </c>
    </row>
    <row r="74" spans="1:35">
      <c r="A74" s="216">
        <v>4401</v>
      </c>
      <c r="C74">
        <v>185</v>
      </c>
      <c r="D74">
        <v>346</v>
      </c>
      <c r="E74">
        <v>2415</v>
      </c>
      <c r="F74">
        <v>2443</v>
      </c>
      <c r="G74">
        <v>1036</v>
      </c>
      <c r="H74" s="238">
        <v>7.0000000000000007E-2</v>
      </c>
      <c r="J74" s="228">
        <v>0.05</v>
      </c>
      <c r="L74">
        <v>66</v>
      </c>
      <c r="M74">
        <v>95.19</v>
      </c>
    </row>
    <row r="75" spans="1:35">
      <c r="A75" s="216">
        <v>1582</v>
      </c>
      <c r="C75">
        <v>358</v>
      </c>
      <c r="D75">
        <v>5239</v>
      </c>
      <c r="E75">
        <v>754</v>
      </c>
      <c r="F75">
        <v>5536</v>
      </c>
      <c r="G75">
        <v>59</v>
      </c>
      <c r="H75" s="238">
        <v>0.06</v>
      </c>
      <c r="J75" s="228">
        <v>0.06</v>
      </c>
      <c r="L75">
        <v>68</v>
      </c>
      <c r="M75">
        <v>95.13</v>
      </c>
    </row>
    <row r="76" spans="1:35">
      <c r="A76" s="216">
        <v>2108</v>
      </c>
      <c r="C76">
        <v>409</v>
      </c>
      <c r="D76">
        <v>3630</v>
      </c>
      <c r="E76">
        <v>3097</v>
      </c>
      <c r="F76">
        <v>6972</v>
      </c>
      <c r="G76">
        <v>149</v>
      </c>
      <c r="H76" s="238">
        <v>0.06</v>
      </c>
      <c r="J76" s="228">
        <v>0.06</v>
      </c>
      <c r="L76">
        <v>68</v>
      </c>
      <c r="M76">
        <v>95.06</v>
      </c>
      <c r="P76" s="46"/>
      <c r="AC76" s="46"/>
      <c r="AF76" s="46"/>
      <c r="AH76" s="46"/>
    </row>
    <row r="77" spans="1:35">
      <c r="A77" s="216">
        <v>4144</v>
      </c>
      <c r="C77">
        <v>160</v>
      </c>
      <c r="D77">
        <v>1044</v>
      </c>
      <c r="E77">
        <v>236</v>
      </c>
      <c r="F77">
        <v>3420</v>
      </c>
      <c r="G77">
        <v>328</v>
      </c>
      <c r="H77" s="238">
        <v>0.12</v>
      </c>
      <c r="J77" s="228">
        <v>0.04</v>
      </c>
      <c r="L77">
        <v>68</v>
      </c>
      <c r="M77">
        <v>95</v>
      </c>
      <c r="P77" s="46"/>
      <c r="AC77" s="46"/>
      <c r="AF77" s="46"/>
      <c r="AH77" s="46"/>
    </row>
    <row r="78" spans="1:35">
      <c r="A78" s="216">
        <v>4927</v>
      </c>
      <c r="C78">
        <v>402</v>
      </c>
      <c r="D78">
        <v>0</v>
      </c>
      <c r="E78">
        <v>6199</v>
      </c>
      <c r="F78">
        <v>3939</v>
      </c>
      <c r="G78">
        <v>2797</v>
      </c>
      <c r="H78" s="238">
        <v>0.06</v>
      </c>
      <c r="J78" s="228">
        <v>0.06</v>
      </c>
      <c r="L78">
        <v>68</v>
      </c>
      <c r="M78">
        <v>94.93</v>
      </c>
      <c r="P78" s="46"/>
      <c r="AC78" s="46"/>
      <c r="AF78" s="46"/>
      <c r="AH78" s="46"/>
    </row>
    <row r="79" spans="1:35">
      <c r="A79" s="216">
        <v>4952</v>
      </c>
      <c r="C79">
        <v>135</v>
      </c>
      <c r="D79">
        <v>1439</v>
      </c>
      <c r="E79">
        <v>667</v>
      </c>
      <c r="F79">
        <v>2079</v>
      </c>
      <c r="G79">
        <v>216</v>
      </c>
      <c r="H79" s="238">
        <v>0.06</v>
      </c>
      <c r="J79" s="228">
        <v>0.06</v>
      </c>
      <c r="L79">
        <v>68</v>
      </c>
      <c r="M79">
        <v>94.87</v>
      </c>
      <c r="P79" s="46"/>
      <c r="AC79" s="46"/>
      <c r="AF79" s="46"/>
      <c r="AH79" s="46"/>
    </row>
    <row r="80" spans="1:35">
      <c r="A80" s="216">
        <v>6230</v>
      </c>
      <c r="C80">
        <v>208</v>
      </c>
      <c r="D80">
        <v>2287</v>
      </c>
      <c r="E80">
        <v>1000</v>
      </c>
      <c r="F80">
        <v>3349</v>
      </c>
      <c r="G80">
        <v>413</v>
      </c>
      <c r="H80" s="238">
        <v>0.06</v>
      </c>
      <c r="J80" s="228">
        <v>0.06</v>
      </c>
      <c r="L80">
        <v>68</v>
      </c>
      <c r="M80">
        <v>94.8</v>
      </c>
      <c r="P80" s="46"/>
      <c r="AC80" s="46"/>
      <c r="AF80" s="46"/>
      <c r="AH80" s="46"/>
    </row>
    <row r="81" spans="1:34">
      <c r="A81" s="216">
        <v>6210</v>
      </c>
      <c r="C81">
        <v>45</v>
      </c>
      <c r="D81">
        <v>489</v>
      </c>
      <c r="E81">
        <v>326</v>
      </c>
      <c r="F81">
        <v>747</v>
      </c>
      <c r="G81">
        <v>20</v>
      </c>
      <c r="H81" s="238">
        <v>0.06</v>
      </c>
      <c r="J81" s="228">
        <v>0.06</v>
      </c>
      <c r="L81">
        <v>68</v>
      </c>
      <c r="M81">
        <v>94.73</v>
      </c>
      <c r="P81" s="46"/>
      <c r="AC81" s="46"/>
      <c r="AF81" s="46"/>
      <c r="AH81" s="46"/>
    </row>
    <row r="82" spans="1:34">
      <c r="A82" s="216">
        <v>1262</v>
      </c>
      <c r="C82">
        <v>488</v>
      </c>
      <c r="D82">
        <v>2177</v>
      </c>
      <c r="E82">
        <v>6521</v>
      </c>
      <c r="F82">
        <v>9911</v>
      </c>
      <c r="G82">
        <v>705</v>
      </c>
      <c r="H82" s="238">
        <v>0.06</v>
      </c>
      <c r="J82" s="228">
        <v>0.05</v>
      </c>
      <c r="L82">
        <v>79</v>
      </c>
      <c r="M82">
        <v>94.67</v>
      </c>
      <c r="P82" s="46"/>
      <c r="AC82" s="46"/>
      <c r="AF82" s="46"/>
      <c r="AH82" s="46"/>
    </row>
    <row r="83" spans="1:34">
      <c r="A83" s="216">
        <v>4938</v>
      </c>
      <c r="C83">
        <v>12087</v>
      </c>
      <c r="D83">
        <v>116309</v>
      </c>
      <c r="E83">
        <v>71439</v>
      </c>
      <c r="F83">
        <v>185738</v>
      </c>
      <c r="G83">
        <v>67260</v>
      </c>
      <c r="H83" s="238">
        <v>0.06</v>
      </c>
      <c r="J83" s="228">
        <v>0.05</v>
      </c>
      <c r="L83">
        <v>79</v>
      </c>
      <c r="M83">
        <v>94.6</v>
      </c>
      <c r="P83" s="46"/>
      <c r="AC83" s="46"/>
      <c r="AF83" s="46"/>
      <c r="AH83" s="46"/>
    </row>
    <row r="84" spans="1:34">
      <c r="A84" s="216">
        <v>4958</v>
      </c>
      <c r="C84">
        <v>2935</v>
      </c>
      <c r="D84">
        <v>13108</v>
      </c>
      <c r="E84">
        <v>32811</v>
      </c>
      <c r="F84">
        <v>40583</v>
      </c>
      <c r="G84">
        <v>13572</v>
      </c>
      <c r="H84" s="238">
        <v>0.06</v>
      </c>
      <c r="J84" s="228">
        <v>0.05</v>
      </c>
      <c r="L84">
        <v>79</v>
      </c>
      <c r="M84">
        <v>94.54</v>
      </c>
      <c r="P84" s="46"/>
      <c r="AC84" s="46"/>
      <c r="AF84" s="46"/>
      <c r="AH84" s="46"/>
    </row>
    <row r="85" spans="1:34">
      <c r="A85" s="216">
        <v>5434</v>
      </c>
      <c r="C85">
        <v>308</v>
      </c>
      <c r="D85">
        <v>2374</v>
      </c>
      <c r="E85">
        <v>2510</v>
      </c>
      <c r="F85">
        <v>5701</v>
      </c>
      <c r="G85">
        <v>608</v>
      </c>
      <c r="H85" s="238">
        <v>0.06</v>
      </c>
      <c r="J85" s="228">
        <v>0.05</v>
      </c>
      <c r="L85">
        <v>79</v>
      </c>
      <c r="M85">
        <v>94.47</v>
      </c>
      <c r="P85" s="46"/>
      <c r="AC85" s="46"/>
      <c r="AF85" s="46"/>
      <c r="AH85" s="46"/>
    </row>
    <row r="86" spans="1:34">
      <c r="A86" s="216">
        <v>6269</v>
      </c>
      <c r="C86">
        <v>824</v>
      </c>
      <c r="D86">
        <v>8793</v>
      </c>
      <c r="E86">
        <v>5503</v>
      </c>
      <c r="F86">
        <v>14102</v>
      </c>
      <c r="G86">
        <v>974</v>
      </c>
      <c r="H86" s="238">
        <v>0.06</v>
      </c>
      <c r="J86" s="228">
        <v>0.05</v>
      </c>
      <c r="L86">
        <v>79</v>
      </c>
      <c r="M86">
        <v>94.4</v>
      </c>
      <c r="P86" s="46"/>
      <c r="AC86" s="46"/>
      <c r="AF86" s="46"/>
      <c r="AH86" s="46"/>
    </row>
    <row r="87" spans="1:34">
      <c r="A87" s="216">
        <v>8429</v>
      </c>
      <c r="C87">
        <v>380</v>
      </c>
      <c r="D87">
        <v>5369</v>
      </c>
      <c r="E87">
        <v>578</v>
      </c>
      <c r="F87">
        <v>5776</v>
      </c>
      <c r="G87">
        <v>1170</v>
      </c>
      <c r="H87" s="238">
        <v>0.06</v>
      </c>
      <c r="J87" s="228">
        <v>0.05</v>
      </c>
      <c r="L87">
        <v>79</v>
      </c>
      <c r="M87">
        <v>94.34</v>
      </c>
      <c r="P87" s="46"/>
      <c r="AC87" s="46"/>
      <c r="AF87" s="46"/>
      <c r="AH87" s="46"/>
    </row>
    <row r="88" spans="1:34">
      <c r="A88" s="216">
        <v>9930</v>
      </c>
      <c r="C88">
        <v>246</v>
      </c>
      <c r="D88">
        <v>0</v>
      </c>
      <c r="E88">
        <v>4029</v>
      </c>
      <c r="F88">
        <v>4264</v>
      </c>
      <c r="G88">
        <v>833</v>
      </c>
      <c r="H88" s="238">
        <v>0.06</v>
      </c>
      <c r="J88" s="228">
        <v>0.05</v>
      </c>
      <c r="L88">
        <v>79</v>
      </c>
      <c r="M88">
        <v>94.27</v>
      </c>
      <c r="P88" s="46"/>
      <c r="AC88" s="46"/>
      <c r="AF88" s="46"/>
      <c r="AH88" s="46"/>
    </row>
    <row r="89" spans="1:34">
      <c r="A89" s="216">
        <v>3491</v>
      </c>
      <c r="C89">
        <v>85</v>
      </c>
      <c r="D89">
        <v>696</v>
      </c>
      <c r="E89">
        <v>704</v>
      </c>
      <c r="F89">
        <v>1703</v>
      </c>
      <c r="G89">
        <v>150</v>
      </c>
      <c r="H89" s="238">
        <v>0.06</v>
      </c>
      <c r="J89" s="228">
        <v>0.05</v>
      </c>
      <c r="L89">
        <v>79</v>
      </c>
      <c r="M89">
        <v>94.21</v>
      </c>
      <c r="P89" s="46"/>
      <c r="AC89" s="46"/>
      <c r="AF89" s="46"/>
      <c r="AH89" s="46"/>
    </row>
    <row r="90" spans="1:34">
      <c r="A90" s="216">
        <v>3672</v>
      </c>
      <c r="C90">
        <v>25</v>
      </c>
      <c r="D90">
        <v>321</v>
      </c>
      <c r="E90">
        <v>129</v>
      </c>
      <c r="F90">
        <v>495</v>
      </c>
      <c r="G90">
        <v>6</v>
      </c>
      <c r="H90" s="238">
        <v>0.06</v>
      </c>
      <c r="J90" s="228">
        <v>0.05</v>
      </c>
      <c r="L90">
        <v>79</v>
      </c>
      <c r="M90">
        <v>94.14</v>
      </c>
      <c r="P90" s="46"/>
      <c r="AC90" s="46"/>
      <c r="AF90" s="46"/>
      <c r="AH90" s="46"/>
    </row>
    <row r="91" spans="1:34">
      <c r="A91" s="216">
        <v>4903</v>
      </c>
      <c r="C91">
        <v>53</v>
      </c>
      <c r="D91">
        <v>776</v>
      </c>
      <c r="E91">
        <v>170</v>
      </c>
      <c r="F91">
        <v>1058</v>
      </c>
      <c r="G91">
        <v>8</v>
      </c>
      <c r="H91" s="238">
        <v>0.06</v>
      </c>
      <c r="J91" s="228">
        <v>0.05</v>
      </c>
      <c r="L91">
        <v>79</v>
      </c>
      <c r="M91">
        <v>94.08</v>
      </c>
    </row>
    <row r="92" spans="1:34">
      <c r="A92" s="216">
        <v>5489</v>
      </c>
      <c r="C92">
        <v>112</v>
      </c>
      <c r="D92">
        <v>1287</v>
      </c>
      <c r="E92">
        <v>707</v>
      </c>
      <c r="F92">
        <v>2029</v>
      </c>
      <c r="G92">
        <v>23</v>
      </c>
      <c r="H92" s="238">
        <v>0.06</v>
      </c>
      <c r="J92" s="228">
        <v>0.05</v>
      </c>
      <c r="L92">
        <v>79</v>
      </c>
      <c r="M92">
        <v>94.01</v>
      </c>
    </row>
    <row r="93" spans="1:34">
      <c r="A93" s="216">
        <v>8050</v>
      </c>
      <c r="C93">
        <v>148</v>
      </c>
      <c r="D93">
        <v>1369</v>
      </c>
      <c r="E93">
        <v>1071</v>
      </c>
      <c r="F93">
        <v>2680</v>
      </c>
      <c r="G93">
        <v>358</v>
      </c>
      <c r="H93" s="238">
        <v>0.06</v>
      </c>
      <c r="J93" s="228">
        <v>0.05</v>
      </c>
      <c r="L93">
        <v>79</v>
      </c>
      <c r="M93">
        <v>93.94</v>
      </c>
    </row>
    <row r="94" spans="1:34">
      <c r="A94" s="216">
        <v>8299</v>
      </c>
      <c r="C94">
        <v>1101</v>
      </c>
      <c r="D94">
        <v>15947</v>
      </c>
      <c r="E94">
        <v>1625</v>
      </c>
      <c r="F94">
        <v>19386</v>
      </c>
      <c r="G94">
        <v>723</v>
      </c>
      <c r="H94" s="238">
        <v>0.06</v>
      </c>
      <c r="J94" s="228">
        <v>0.05</v>
      </c>
      <c r="L94">
        <v>79</v>
      </c>
      <c r="M94">
        <v>93.88</v>
      </c>
    </row>
    <row r="95" spans="1:34">
      <c r="A95" s="216">
        <v>8426</v>
      </c>
      <c r="C95">
        <v>54</v>
      </c>
      <c r="D95">
        <v>323</v>
      </c>
      <c r="E95">
        <v>522</v>
      </c>
      <c r="F95">
        <v>882</v>
      </c>
      <c r="G95">
        <v>107</v>
      </c>
      <c r="H95" s="238">
        <v>0.06</v>
      </c>
      <c r="J95" s="228">
        <v>0.05</v>
      </c>
      <c r="L95">
        <v>79</v>
      </c>
      <c r="M95">
        <v>93.81</v>
      </c>
    </row>
    <row r="96" spans="1:34">
      <c r="A96" s="216">
        <v>9943</v>
      </c>
      <c r="C96">
        <v>136</v>
      </c>
      <c r="D96">
        <v>894</v>
      </c>
      <c r="E96">
        <v>763</v>
      </c>
      <c r="F96">
        <v>3524</v>
      </c>
      <c r="G96">
        <v>70</v>
      </c>
      <c r="H96" s="238">
        <v>0.08</v>
      </c>
      <c r="J96" s="228">
        <v>0.04</v>
      </c>
      <c r="L96">
        <v>83</v>
      </c>
      <c r="M96">
        <v>93.75</v>
      </c>
    </row>
    <row r="97" spans="1:13">
      <c r="A97" s="216">
        <v>2726</v>
      </c>
      <c r="C97">
        <v>38</v>
      </c>
      <c r="D97">
        <v>516</v>
      </c>
      <c r="E97">
        <v>178</v>
      </c>
      <c r="F97">
        <v>532</v>
      </c>
      <c r="G97">
        <v>147</v>
      </c>
      <c r="H97" s="238">
        <v>0.05</v>
      </c>
      <c r="J97" s="228">
        <v>0.06</v>
      </c>
      <c r="L97">
        <v>88</v>
      </c>
      <c r="M97">
        <v>93.68</v>
      </c>
    </row>
    <row r="98" spans="1:13">
      <c r="A98" s="216">
        <v>4991</v>
      </c>
      <c r="C98">
        <v>91</v>
      </c>
      <c r="D98">
        <v>1494</v>
      </c>
      <c r="E98">
        <v>428</v>
      </c>
      <c r="F98">
        <v>1521</v>
      </c>
      <c r="G98">
        <v>31</v>
      </c>
      <c r="H98" s="238">
        <v>0.05</v>
      </c>
      <c r="J98" s="228">
        <v>0.06</v>
      </c>
      <c r="L98">
        <v>88</v>
      </c>
      <c r="M98">
        <v>93.61</v>
      </c>
    </row>
    <row r="99" spans="1:13">
      <c r="A99" s="216">
        <v>1215</v>
      </c>
      <c r="C99">
        <v>269</v>
      </c>
      <c r="D99">
        <v>517</v>
      </c>
      <c r="E99">
        <v>3376</v>
      </c>
      <c r="F99">
        <v>5116</v>
      </c>
      <c r="G99">
        <v>2174</v>
      </c>
      <c r="H99" s="238">
        <v>7.0000000000000007E-2</v>
      </c>
      <c r="J99" s="228">
        <v>0.04</v>
      </c>
      <c r="L99">
        <v>90</v>
      </c>
      <c r="M99">
        <v>93.55</v>
      </c>
    </row>
    <row r="100" spans="1:13">
      <c r="A100" s="216">
        <v>2385</v>
      </c>
      <c r="C100">
        <v>1253</v>
      </c>
      <c r="D100">
        <v>4302</v>
      </c>
      <c r="E100">
        <v>14875</v>
      </c>
      <c r="F100">
        <v>24529</v>
      </c>
      <c r="G100">
        <v>6331</v>
      </c>
      <c r="H100" s="238">
        <v>7.0000000000000007E-2</v>
      </c>
      <c r="J100" s="228">
        <v>0.04</v>
      </c>
      <c r="L100">
        <v>90</v>
      </c>
      <c r="M100">
        <v>93.48</v>
      </c>
    </row>
    <row r="101" spans="1:13">
      <c r="A101" s="216">
        <v>3023</v>
      </c>
      <c r="C101">
        <v>302</v>
      </c>
      <c r="D101">
        <v>3272</v>
      </c>
      <c r="E101">
        <v>1288</v>
      </c>
      <c r="F101">
        <v>5467</v>
      </c>
      <c r="G101">
        <v>1417</v>
      </c>
      <c r="H101" s="238">
        <v>7.0000000000000007E-2</v>
      </c>
      <c r="J101" s="228">
        <v>0.04</v>
      </c>
      <c r="L101">
        <v>90</v>
      </c>
      <c r="M101">
        <v>93.42</v>
      </c>
    </row>
    <row r="102" spans="1:13">
      <c r="A102" s="216">
        <v>3048</v>
      </c>
      <c r="C102">
        <v>286</v>
      </c>
      <c r="D102">
        <v>3492</v>
      </c>
      <c r="E102">
        <v>491</v>
      </c>
      <c r="F102">
        <v>3195</v>
      </c>
      <c r="G102">
        <v>3199</v>
      </c>
      <c r="H102" s="238">
        <v>7.0000000000000007E-2</v>
      </c>
      <c r="J102" s="228">
        <v>0.04</v>
      </c>
      <c r="L102">
        <v>90</v>
      </c>
      <c r="M102">
        <v>93.35</v>
      </c>
    </row>
    <row r="103" spans="1:13">
      <c r="A103" s="216">
        <v>4915</v>
      </c>
      <c r="C103">
        <v>726</v>
      </c>
      <c r="D103">
        <v>4065</v>
      </c>
      <c r="E103">
        <v>6129</v>
      </c>
      <c r="F103">
        <v>12292</v>
      </c>
      <c r="G103">
        <v>4871</v>
      </c>
      <c r="H103" s="238">
        <v>7.0000000000000007E-2</v>
      </c>
      <c r="J103" s="228">
        <v>0.04</v>
      </c>
      <c r="L103">
        <v>90</v>
      </c>
      <c r="M103">
        <v>93.29</v>
      </c>
    </row>
    <row r="104" spans="1:13">
      <c r="A104" s="216">
        <v>9921</v>
      </c>
      <c r="C104">
        <v>1338</v>
      </c>
      <c r="D104">
        <v>11314</v>
      </c>
      <c r="E104">
        <v>7724</v>
      </c>
      <c r="F104">
        <v>20091</v>
      </c>
      <c r="G104">
        <v>11422</v>
      </c>
      <c r="H104" s="238">
        <v>7.0000000000000007E-2</v>
      </c>
      <c r="J104" s="228">
        <v>0.04</v>
      </c>
      <c r="L104">
        <v>90</v>
      </c>
      <c r="M104">
        <v>93.22</v>
      </c>
    </row>
    <row r="105" spans="1:13">
      <c r="A105" s="216">
        <v>8406</v>
      </c>
      <c r="C105">
        <v>592</v>
      </c>
      <c r="D105">
        <v>4715</v>
      </c>
      <c r="E105">
        <v>4349</v>
      </c>
      <c r="F105">
        <v>9961</v>
      </c>
      <c r="G105">
        <v>4559</v>
      </c>
      <c r="H105" s="238">
        <v>7.0000000000000007E-2</v>
      </c>
      <c r="J105" s="228">
        <v>0.04</v>
      </c>
      <c r="L105">
        <v>90</v>
      </c>
      <c r="M105">
        <v>93.15</v>
      </c>
    </row>
    <row r="106" spans="1:13">
      <c r="A106" s="216">
        <v>2377</v>
      </c>
      <c r="C106">
        <v>1230</v>
      </c>
      <c r="D106">
        <v>17619</v>
      </c>
      <c r="E106">
        <v>5622</v>
      </c>
      <c r="F106">
        <v>24849</v>
      </c>
      <c r="G106">
        <v>164</v>
      </c>
      <c r="H106" s="238">
        <v>0.05</v>
      </c>
      <c r="J106" s="228">
        <v>0.05</v>
      </c>
      <c r="L106">
        <v>100</v>
      </c>
      <c r="M106">
        <v>93.09</v>
      </c>
    </row>
    <row r="107" spans="1:13">
      <c r="A107" s="216">
        <v>2428</v>
      </c>
      <c r="C107">
        <v>257</v>
      </c>
      <c r="D107">
        <v>3511</v>
      </c>
      <c r="E107">
        <v>1255</v>
      </c>
      <c r="F107">
        <v>4657</v>
      </c>
      <c r="G107">
        <v>329</v>
      </c>
      <c r="H107" s="238">
        <v>0.05</v>
      </c>
      <c r="J107" s="228">
        <v>0.05</v>
      </c>
      <c r="L107">
        <v>100</v>
      </c>
      <c r="M107">
        <v>93.02</v>
      </c>
    </row>
    <row r="108" spans="1:13">
      <c r="A108" s="216">
        <v>2464</v>
      </c>
      <c r="C108">
        <v>183</v>
      </c>
      <c r="D108">
        <v>1807</v>
      </c>
      <c r="E108">
        <v>1592</v>
      </c>
      <c r="F108">
        <v>3537</v>
      </c>
      <c r="G108">
        <v>283</v>
      </c>
      <c r="H108" s="238">
        <v>0.05</v>
      </c>
      <c r="J108" s="228">
        <v>0.05</v>
      </c>
      <c r="L108">
        <v>100</v>
      </c>
      <c r="M108">
        <v>92.96</v>
      </c>
    </row>
    <row r="109" spans="1:13">
      <c r="A109" s="216">
        <v>2488</v>
      </c>
      <c r="C109">
        <v>82</v>
      </c>
      <c r="D109">
        <v>1222</v>
      </c>
      <c r="E109">
        <v>445</v>
      </c>
      <c r="F109">
        <v>1746</v>
      </c>
      <c r="G109">
        <v>49</v>
      </c>
      <c r="H109" s="238">
        <v>0.05</v>
      </c>
      <c r="J109" s="228">
        <v>0.05</v>
      </c>
      <c r="L109">
        <v>100</v>
      </c>
      <c r="M109">
        <v>92.89</v>
      </c>
    </row>
    <row r="110" spans="1:13">
      <c r="A110" s="216">
        <v>2493</v>
      </c>
      <c r="C110">
        <v>105</v>
      </c>
      <c r="D110">
        <v>1551</v>
      </c>
      <c r="E110">
        <v>487</v>
      </c>
      <c r="F110">
        <v>2107</v>
      </c>
      <c r="G110">
        <v>24</v>
      </c>
      <c r="H110" s="238">
        <v>0.05</v>
      </c>
      <c r="J110" s="228">
        <v>0.05</v>
      </c>
      <c r="L110">
        <v>100</v>
      </c>
      <c r="M110">
        <v>92.82</v>
      </c>
    </row>
    <row r="111" spans="1:13">
      <c r="A111" s="216">
        <v>3454</v>
      </c>
      <c r="C111">
        <v>118</v>
      </c>
      <c r="D111">
        <v>1748</v>
      </c>
      <c r="E111">
        <v>455</v>
      </c>
      <c r="F111">
        <v>2607</v>
      </c>
      <c r="G111">
        <v>2</v>
      </c>
      <c r="H111" s="238">
        <v>0.05</v>
      </c>
      <c r="J111" s="228">
        <v>0.05</v>
      </c>
      <c r="L111">
        <v>100</v>
      </c>
      <c r="M111">
        <v>92.76</v>
      </c>
    </row>
    <row r="112" spans="1:13">
      <c r="A112" s="216">
        <v>1777</v>
      </c>
      <c r="C112">
        <v>47</v>
      </c>
      <c r="D112">
        <v>604</v>
      </c>
      <c r="E112">
        <v>321</v>
      </c>
      <c r="F112">
        <v>936</v>
      </c>
      <c r="G112">
        <v>42</v>
      </c>
      <c r="H112" s="238">
        <v>0.05</v>
      </c>
      <c r="J112" s="228">
        <v>0.05</v>
      </c>
      <c r="L112">
        <v>100</v>
      </c>
      <c r="M112">
        <v>92.69</v>
      </c>
    </row>
    <row r="113" spans="1:13">
      <c r="A113" s="216">
        <v>3272</v>
      </c>
      <c r="C113">
        <v>82</v>
      </c>
      <c r="D113">
        <v>1335</v>
      </c>
      <c r="E113">
        <v>214</v>
      </c>
      <c r="F113">
        <v>1418</v>
      </c>
      <c r="G113">
        <v>167</v>
      </c>
      <c r="H113" s="238">
        <v>0.05</v>
      </c>
      <c r="J113" s="228">
        <v>0.05</v>
      </c>
      <c r="L113">
        <v>100</v>
      </c>
      <c r="M113">
        <v>92.63</v>
      </c>
    </row>
    <row r="114" spans="1:13">
      <c r="A114" s="216">
        <v>3490</v>
      </c>
      <c r="C114">
        <v>87</v>
      </c>
      <c r="D114">
        <v>962</v>
      </c>
      <c r="E114">
        <v>822</v>
      </c>
      <c r="F114">
        <v>1664</v>
      </c>
      <c r="G114">
        <v>180</v>
      </c>
      <c r="H114" s="238">
        <v>0.05</v>
      </c>
      <c r="J114" s="228">
        <v>0.05</v>
      </c>
      <c r="L114">
        <v>100</v>
      </c>
      <c r="M114">
        <v>92.56</v>
      </c>
    </row>
    <row r="115" spans="1:13">
      <c r="A115" s="216">
        <v>3541</v>
      </c>
      <c r="C115">
        <v>43</v>
      </c>
      <c r="D115">
        <v>551</v>
      </c>
      <c r="E115">
        <v>251</v>
      </c>
      <c r="F115">
        <v>799</v>
      </c>
      <c r="G115">
        <v>89</v>
      </c>
      <c r="H115" s="238">
        <v>0.05</v>
      </c>
      <c r="J115" s="228">
        <v>0.05</v>
      </c>
      <c r="L115">
        <v>100</v>
      </c>
      <c r="M115">
        <v>92.5</v>
      </c>
    </row>
    <row r="116" spans="1:13">
      <c r="A116" s="216">
        <v>3632</v>
      </c>
      <c r="C116">
        <v>29</v>
      </c>
      <c r="D116">
        <v>367</v>
      </c>
      <c r="E116">
        <v>240</v>
      </c>
      <c r="F116">
        <v>455</v>
      </c>
      <c r="G116">
        <v>140</v>
      </c>
      <c r="H116" s="238">
        <v>0.05</v>
      </c>
      <c r="J116" s="228">
        <v>0.05</v>
      </c>
      <c r="L116">
        <v>100</v>
      </c>
      <c r="M116">
        <v>92.43</v>
      </c>
    </row>
    <row r="117" spans="1:13">
      <c r="A117" s="216">
        <v>4107</v>
      </c>
      <c r="C117">
        <v>86</v>
      </c>
      <c r="D117">
        <v>934</v>
      </c>
      <c r="E117">
        <v>939</v>
      </c>
      <c r="F117">
        <v>1816</v>
      </c>
      <c r="G117">
        <v>78</v>
      </c>
      <c r="H117" s="238">
        <v>0.05</v>
      </c>
      <c r="J117" s="228">
        <v>0.05</v>
      </c>
      <c r="L117">
        <v>100</v>
      </c>
      <c r="M117">
        <v>92.36</v>
      </c>
    </row>
    <row r="118" spans="1:13">
      <c r="A118" s="216">
        <v>4736</v>
      </c>
      <c r="C118">
        <v>152</v>
      </c>
      <c r="D118">
        <v>1658</v>
      </c>
      <c r="E118">
        <v>1242</v>
      </c>
      <c r="F118">
        <v>2689</v>
      </c>
      <c r="G118">
        <v>322</v>
      </c>
      <c r="H118" s="238">
        <v>0.05</v>
      </c>
      <c r="J118" s="228">
        <v>0.05</v>
      </c>
      <c r="L118">
        <v>100</v>
      </c>
      <c r="M118">
        <v>92.3</v>
      </c>
    </row>
    <row r="119" spans="1:13">
      <c r="A119" s="216">
        <v>5212</v>
      </c>
      <c r="C119">
        <v>19</v>
      </c>
      <c r="D119">
        <v>264</v>
      </c>
      <c r="E119">
        <v>90</v>
      </c>
      <c r="F119">
        <v>375</v>
      </c>
      <c r="G119">
        <v>33</v>
      </c>
      <c r="H119" s="238">
        <v>0.05</v>
      </c>
      <c r="J119" s="228">
        <v>0.05</v>
      </c>
      <c r="L119">
        <v>100</v>
      </c>
      <c r="M119">
        <v>92.23</v>
      </c>
    </row>
    <row r="120" spans="1:13">
      <c r="A120" s="216">
        <v>6245</v>
      </c>
      <c r="C120">
        <v>115</v>
      </c>
      <c r="D120">
        <v>1088</v>
      </c>
      <c r="E120">
        <v>1111</v>
      </c>
      <c r="F120">
        <v>2222</v>
      </c>
      <c r="G120">
        <v>277</v>
      </c>
      <c r="H120" s="238">
        <v>0.05</v>
      </c>
      <c r="J120" s="228">
        <v>0.05</v>
      </c>
      <c r="L120">
        <v>100</v>
      </c>
      <c r="M120">
        <v>92.17</v>
      </c>
    </row>
    <row r="121" spans="1:13">
      <c r="A121" s="216">
        <v>6274</v>
      </c>
      <c r="C121">
        <v>320</v>
      </c>
      <c r="D121">
        <v>3928</v>
      </c>
      <c r="E121">
        <v>3052</v>
      </c>
      <c r="F121">
        <v>6194</v>
      </c>
      <c r="G121">
        <v>243</v>
      </c>
      <c r="H121" s="238">
        <v>0.05</v>
      </c>
      <c r="J121" s="228">
        <v>0.05</v>
      </c>
      <c r="L121">
        <v>100</v>
      </c>
      <c r="M121">
        <v>92.1</v>
      </c>
    </row>
    <row r="122" spans="1:13">
      <c r="A122" s="216">
        <v>1730</v>
      </c>
      <c r="C122">
        <v>51</v>
      </c>
      <c r="D122">
        <v>513</v>
      </c>
      <c r="E122">
        <v>330</v>
      </c>
      <c r="F122">
        <v>1144</v>
      </c>
      <c r="G122">
        <v>177</v>
      </c>
      <c r="H122" s="238">
        <v>0.06</v>
      </c>
      <c r="J122" s="228">
        <v>0.04</v>
      </c>
      <c r="L122">
        <v>103</v>
      </c>
      <c r="M122">
        <v>92.03</v>
      </c>
    </row>
    <row r="123" spans="1:13">
      <c r="A123" s="216">
        <v>2408</v>
      </c>
      <c r="C123">
        <v>3168</v>
      </c>
      <c r="D123">
        <v>0</v>
      </c>
      <c r="E123">
        <v>50363</v>
      </c>
      <c r="F123">
        <v>52496</v>
      </c>
      <c r="G123">
        <v>33336</v>
      </c>
      <c r="H123" s="238">
        <v>0.06</v>
      </c>
      <c r="J123" s="228">
        <v>0.04</v>
      </c>
      <c r="L123">
        <v>103</v>
      </c>
      <c r="M123">
        <v>91.97</v>
      </c>
    </row>
    <row r="124" spans="1:13">
      <c r="A124" s="216">
        <v>2731</v>
      </c>
      <c r="C124">
        <v>79</v>
      </c>
      <c r="D124">
        <v>895</v>
      </c>
      <c r="E124">
        <v>353</v>
      </c>
      <c r="F124">
        <v>2210</v>
      </c>
      <c r="G124">
        <v>31</v>
      </c>
      <c r="H124" s="238">
        <v>0.06</v>
      </c>
      <c r="J124" s="228">
        <v>0.04</v>
      </c>
      <c r="L124">
        <v>103</v>
      </c>
      <c r="M124">
        <v>91.9</v>
      </c>
    </row>
    <row r="125" spans="1:13">
      <c r="A125" s="216">
        <v>4722</v>
      </c>
      <c r="C125">
        <v>102</v>
      </c>
      <c r="D125">
        <v>876</v>
      </c>
      <c r="E125">
        <v>962</v>
      </c>
      <c r="F125">
        <v>1904</v>
      </c>
      <c r="G125">
        <v>666</v>
      </c>
      <c r="H125" s="238">
        <v>0.06</v>
      </c>
      <c r="J125" s="228">
        <v>0.04</v>
      </c>
      <c r="L125">
        <v>103</v>
      </c>
      <c r="M125">
        <v>91.84</v>
      </c>
    </row>
    <row r="126" spans="1:13">
      <c r="A126" s="216">
        <v>6176</v>
      </c>
      <c r="C126">
        <v>1502</v>
      </c>
      <c r="D126">
        <v>17866</v>
      </c>
      <c r="E126">
        <v>9317</v>
      </c>
      <c r="F126">
        <v>23577</v>
      </c>
      <c r="G126">
        <v>12334</v>
      </c>
      <c r="H126" s="238">
        <v>0.06</v>
      </c>
      <c r="J126" s="228">
        <v>0.04</v>
      </c>
      <c r="L126">
        <v>103</v>
      </c>
      <c r="M126">
        <v>91.77</v>
      </c>
    </row>
    <row r="127" spans="1:13">
      <c r="A127" s="216">
        <v>6285</v>
      </c>
      <c r="C127">
        <v>638</v>
      </c>
      <c r="D127">
        <v>5718</v>
      </c>
      <c r="E127">
        <v>5822</v>
      </c>
      <c r="F127">
        <v>11992</v>
      </c>
      <c r="G127">
        <v>2295</v>
      </c>
      <c r="H127" s="238">
        <v>0.06</v>
      </c>
      <c r="J127" s="228">
        <v>0.04</v>
      </c>
      <c r="L127">
        <v>103</v>
      </c>
      <c r="M127">
        <v>91.71</v>
      </c>
    </row>
    <row r="128" spans="1:13">
      <c r="A128" s="216">
        <v>9938</v>
      </c>
      <c r="C128">
        <v>491</v>
      </c>
      <c r="D128">
        <v>3641</v>
      </c>
      <c r="E128">
        <v>4847</v>
      </c>
      <c r="F128">
        <v>9236</v>
      </c>
      <c r="G128">
        <v>2885</v>
      </c>
      <c r="H128" s="238">
        <v>0.06</v>
      </c>
      <c r="J128" s="228">
        <v>0.04</v>
      </c>
      <c r="L128">
        <v>103</v>
      </c>
      <c r="M128">
        <v>91.64</v>
      </c>
    </row>
    <row r="129" spans="1:13">
      <c r="A129" s="216">
        <v>4163</v>
      </c>
      <c r="C129">
        <v>74</v>
      </c>
      <c r="D129">
        <v>388</v>
      </c>
      <c r="E129">
        <v>867</v>
      </c>
      <c r="F129">
        <v>1302</v>
      </c>
      <c r="G129">
        <v>465</v>
      </c>
      <c r="H129" s="238">
        <v>0.06</v>
      </c>
      <c r="J129" s="228">
        <v>0.04</v>
      </c>
      <c r="L129">
        <v>103</v>
      </c>
      <c r="M129">
        <v>91.57</v>
      </c>
    </row>
    <row r="130" spans="1:13">
      <c r="A130" s="216">
        <v>1723</v>
      </c>
      <c r="C130">
        <v>247</v>
      </c>
      <c r="D130">
        <v>1776</v>
      </c>
      <c r="E130">
        <v>1396</v>
      </c>
      <c r="F130">
        <v>6331</v>
      </c>
      <c r="G130">
        <v>899</v>
      </c>
      <c r="H130" s="238">
        <v>0.08</v>
      </c>
      <c r="J130" s="228">
        <v>0.03</v>
      </c>
      <c r="L130">
        <v>118</v>
      </c>
      <c r="M130">
        <v>91.51</v>
      </c>
    </row>
    <row r="131" spans="1:13">
      <c r="A131" s="216">
        <v>2313</v>
      </c>
      <c r="C131">
        <v>1336</v>
      </c>
      <c r="D131">
        <v>9458</v>
      </c>
      <c r="E131">
        <v>22917</v>
      </c>
      <c r="F131">
        <v>20135</v>
      </c>
      <c r="G131">
        <v>3313</v>
      </c>
      <c r="H131" s="238">
        <v>0.04</v>
      </c>
      <c r="J131" s="228">
        <v>0.06</v>
      </c>
      <c r="L131">
        <v>118</v>
      </c>
      <c r="M131">
        <v>91.44</v>
      </c>
    </row>
    <row r="132" spans="1:13">
      <c r="A132" s="216">
        <v>1340</v>
      </c>
      <c r="C132">
        <v>253</v>
      </c>
      <c r="D132">
        <v>5313</v>
      </c>
      <c r="E132">
        <v>171</v>
      </c>
      <c r="F132">
        <v>5624</v>
      </c>
      <c r="G132">
        <v>62</v>
      </c>
      <c r="H132" s="238">
        <v>0.05</v>
      </c>
      <c r="J132" s="228">
        <v>0.04</v>
      </c>
      <c r="L132">
        <v>124</v>
      </c>
      <c r="M132">
        <v>91.38</v>
      </c>
    </row>
    <row r="133" spans="1:13">
      <c r="A133" s="216">
        <v>2331</v>
      </c>
      <c r="C133">
        <v>553</v>
      </c>
      <c r="D133">
        <v>7549</v>
      </c>
      <c r="E133">
        <v>4133</v>
      </c>
      <c r="F133">
        <v>14613</v>
      </c>
      <c r="G133">
        <v>503</v>
      </c>
      <c r="H133" s="238">
        <v>0.05</v>
      </c>
      <c r="J133" s="228">
        <v>0.04</v>
      </c>
      <c r="L133">
        <v>124</v>
      </c>
      <c r="M133">
        <v>91.31</v>
      </c>
    </row>
    <row r="134" spans="1:13">
      <c r="A134" s="216">
        <v>2355</v>
      </c>
      <c r="C134">
        <v>645</v>
      </c>
      <c r="D134">
        <v>6270</v>
      </c>
      <c r="E134">
        <v>7982</v>
      </c>
      <c r="F134">
        <v>15296</v>
      </c>
      <c r="G134">
        <v>2120</v>
      </c>
      <c r="H134" s="238">
        <v>0.05</v>
      </c>
      <c r="J134" s="228">
        <v>0.04</v>
      </c>
      <c r="L134">
        <v>124</v>
      </c>
      <c r="M134">
        <v>91.24</v>
      </c>
    </row>
    <row r="135" spans="1:13">
      <c r="A135" s="216">
        <v>2412</v>
      </c>
      <c r="C135">
        <v>14045</v>
      </c>
      <c r="D135">
        <v>13745</v>
      </c>
      <c r="E135">
        <v>292963</v>
      </c>
      <c r="F135">
        <v>364353</v>
      </c>
      <c r="G135">
        <v>174</v>
      </c>
      <c r="H135" s="238">
        <v>0.05</v>
      </c>
      <c r="J135" s="228">
        <v>0.04</v>
      </c>
      <c r="L135">
        <v>124</v>
      </c>
      <c r="M135">
        <v>91.18</v>
      </c>
    </row>
    <row r="136" spans="1:13">
      <c r="A136" s="216">
        <v>4912</v>
      </c>
      <c r="C136">
        <v>75</v>
      </c>
      <c r="D136">
        <v>809</v>
      </c>
      <c r="E136">
        <v>680</v>
      </c>
      <c r="F136">
        <v>1616</v>
      </c>
      <c r="G136">
        <v>408</v>
      </c>
      <c r="H136" s="238">
        <v>0.05</v>
      </c>
      <c r="J136" s="228">
        <v>0.04</v>
      </c>
      <c r="L136">
        <v>124</v>
      </c>
      <c r="M136">
        <v>91.11</v>
      </c>
    </row>
    <row r="137" spans="1:13">
      <c r="A137" s="216">
        <v>4935</v>
      </c>
      <c r="C137">
        <v>300</v>
      </c>
      <c r="D137">
        <v>3146</v>
      </c>
      <c r="E137">
        <v>2537</v>
      </c>
      <c r="F137">
        <v>6047</v>
      </c>
      <c r="G137">
        <v>824</v>
      </c>
      <c r="H137" s="238">
        <v>0.05</v>
      </c>
      <c r="J137" s="228">
        <v>0.04</v>
      </c>
      <c r="L137">
        <v>124</v>
      </c>
      <c r="M137">
        <v>91.05</v>
      </c>
    </row>
    <row r="138" spans="1:13">
      <c r="A138" s="216">
        <v>4999</v>
      </c>
      <c r="C138">
        <v>123</v>
      </c>
      <c r="D138">
        <v>1867</v>
      </c>
      <c r="E138">
        <v>811</v>
      </c>
      <c r="F138">
        <v>2682</v>
      </c>
      <c r="G138">
        <v>131</v>
      </c>
      <c r="H138" s="238">
        <v>0.05</v>
      </c>
      <c r="J138" s="228">
        <v>0.04</v>
      </c>
      <c r="L138">
        <v>124</v>
      </c>
      <c r="M138">
        <v>90.98</v>
      </c>
    </row>
    <row r="139" spans="1:13">
      <c r="A139" s="216">
        <v>6213</v>
      </c>
      <c r="C139">
        <v>365</v>
      </c>
      <c r="D139">
        <v>3237</v>
      </c>
      <c r="E139">
        <v>3693</v>
      </c>
      <c r="F139">
        <v>6877</v>
      </c>
      <c r="G139">
        <v>3511</v>
      </c>
      <c r="H139" s="238">
        <v>0.05</v>
      </c>
      <c r="J139" s="228">
        <v>0.04</v>
      </c>
      <c r="L139">
        <v>124</v>
      </c>
      <c r="M139">
        <v>90.92</v>
      </c>
    </row>
    <row r="140" spans="1:13">
      <c r="A140" s="216">
        <v>1788</v>
      </c>
      <c r="C140">
        <v>65</v>
      </c>
      <c r="D140">
        <v>908</v>
      </c>
      <c r="E140">
        <v>347</v>
      </c>
      <c r="F140">
        <v>1487</v>
      </c>
      <c r="G140">
        <v>148</v>
      </c>
      <c r="H140" s="238">
        <v>0.05</v>
      </c>
      <c r="J140" s="228">
        <v>0.04</v>
      </c>
      <c r="L140">
        <v>124</v>
      </c>
      <c r="M140">
        <v>90.85</v>
      </c>
    </row>
    <row r="141" spans="1:13">
      <c r="A141" s="216">
        <v>3299</v>
      </c>
      <c r="C141">
        <v>87</v>
      </c>
      <c r="D141">
        <v>1169</v>
      </c>
      <c r="E141">
        <v>545</v>
      </c>
      <c r="F141">
        <v>1440</v>
      </c>
      <c r="G141">
        <v>616</v>
      </c>
      <c r="H141" s="238">
        <v>0.05</v>
      </c>
      <c r="J141" s="228">
        <v>0.04</v>
      </c>
      <c r="L141">
        <v>124</v>
      </c>
      <c r="M141">
        <v>90.78</v>
      </c>
    </row>
    <row r="142" spans="1:13">
      <c r="A142" s="216">
        <v>4417</v>
      </c>
      <c r="C142">
        <v>115</v>
      </c>
      <c r="D142">
        <v>972</v>
      </c>
      <c r="E142">
        <v>1241</v>
      </c>
      <c r="F142">
        <v>2175</v>
      </c>
      <c r="G142">
        <v>814</v>
      </c>
      <c r="H142" s="238">
        <v>0.05</v>
      </c>
      <c r="J142" s="228">
        <v>0.04</v>
      </c>
      <c r="L142">
        <v>124</v>
      </c>
      <c r="M142">
        <v>90.72</v>
      </c>
    </row>
    <row r="143" spans="1:13">
      <c r="A143" s="216">
        <v>5306</v>
      </c>
      <c r="C143">
        <v>189</v>
      </c>
      <c r="D143">
        <v>1253</v>
      </c>
      <c r="E143">
        <v>2548</v>
      </c>
      <c r="F143">
        <v>3941</v>
      </c>
      <c r="G143">
        <v>649</v>
      </c>
      <c r="H143" s="238">
        <v>0.05</v>
      </c>
      <c r="J143" s="228">
        <v>0.04</v>
      </c>
      <c r="L143">
        <v>124</v>
      </c>
      <c r="M143">
        <v>90.65</v>
      </c>
    </row>
    <row r="144" spans="1:13">
      <c r="A144" s="216">
        <v>6121</v>
      </c>
      <c r="C144">
        <v>918</v>
      </c>
      <c r="D144">
        <v>13687</v>
      </c>
      <c r="E144">
        <v>6346</v>
      </c>
      <c r="F144">
        <v>20807</v>
      </c>
      <c r="G144">
        <v>3760</v>
      </c>
      <c r="H144" s="238">
        <v>0.05</v>
      </c>
      <c r="J144" s="228">
        <v>0.04</v>
      </c>
      <c r="L144">
        <v>124</v>
      </c>
      <c r="M144">
        <v>90.59</v>
      </c>
    </row>
    <row r="145" spans="1:13">
      <c r="A145" s="216">
        <v>6185</v>
      </c>
      <c r="C145">
        <v>98</v>
      </c>
      <c r="D145">
        <v>1742</v>
      </c>
      <c r="E145">
        <v>274</v>
      </c>
      <c r="F145">
        <v>2224</v>
      </c>
      <c r="G145">
        <v>25</v>
      </c>
      <c r="H145" s="238">
        <v>0.05</v>
      </c>
      <c r="J145" s="228">
        <v>0.04</v>
      </c>
      <c r="L145">
        <v>124</v>
      </c>
      <c r="M145">
        <v>90.52</v>
      </c>
    </row>
    <row r="146" spans="1:13">
      <c r="A146" s="216">
        <v>6488</v>
      </c>
      <c r="C146">
        <v>758</v>
      </c>
      <c r="D146">
        <v>6739</v>
      </c>
      <c r="E146">
        <v>9535</v>
      </c>
      <c r="F146">
        <v>16465</v>
      </c>
      <c r="G146">
        <v>516</v>
      </c>
      <c r="H146" s="238">
        <v>0.05</v>
      </c>
      <c r="J146" s="228">
        <v>0.04</v>
      </c>
      <c r="L146">
        <v>124</v>
      </c>
      <c r="M146">
        <v>90.45</v>
      </c>
    </row>
    <row r="147" spans="1:13">
      <c r="A147" s="216">
        <v>8091</v>
      </c>
      <c r="C147">
        <v>91</v>
      </c>
      <c r="D147">
        <v>939</v>
      </c>
      <c r="E147">
        <v>799</v>
      </c>
      <c r="F147">
        <v>2155</v>
      </c>
      <c r="G147">
        <v>270</v>
      </c>
      <c r="H147" s="238">
        <v>0.05</v>
      </c>
      <c r="J147" s="228">
        <v>0.04</v>
      </c>
      <c r="L147">
        <v>124</v>
      </c>
      <c r="M147">
        <v>90.39</v>
      </c>
    </row>
    <row r="148" spans="1:13">
      <c r="A148" s="216">
        <v>8403</v>
      </c>
      <c r="C148">
        <v>56</v>
      </c>
      <c r="D148">
        <v>489</v>
      </c>
      <c r="E148">
        <v>279</v>
      </c>
      <c r="F148">
        <v>1513</v>
      </c>
      <c r="G148">
        <v>475</v>
      </c>
      <c r="H148" s="238">
        <v>7.0000000000000007E-2</v>
      </c>
      <c r="J148" s="228">
        <v>0.03</v>
      </c>
      <c r="L148">
        <v>126</v>
      </c>
      <c r="M148">
        <v>90.32</v>
      </c>
    </row>
    <row r="149" spans="1:13">
      <c r="A149" s="216">
        <v>9942</v>
      </c>
      <c r="C149">
        <v>128</v>
      </c>
      <c r="D149">
        <v>1792</v>
      </c>
      <c r="E149">
        <v>1250</v>
      </c>
      <c r="F149">
        <v>2658</v>
      </c>
      <c r="G149">
        <v>174</v>
      </c>
      <c r="H149" s="238">
        <v>0.04</v>
      </c>
      <c r="J149" s="228">
        <v>0.05</v>
      </c>
      <c r="L149">
        <v>129</v>
      </c>
      <c r="M149">
        <v>90.26</v>
      </c>
    </row>
    <row r="150" spans="1:13">
      <c r="A150" s="216">
        <v>3564</v>
      </c>
      <c r="C150">
        <v>28</v>
      </c>
      <c r="D150">
        <v>287</v>
      </c>
      <c r="E150">
        <v>462</v>
      </c>
      <c r="F150">
        <v>525</v>
      </c>
      <c r="G150">
        <v>14</v>
      </c>
      <c r="H150" s="238">
        <v>0.04</v>
      </c>
      <c r="J150" s="228">
        <v>0.05</v>
      </c>
      <c r="L150">
        <v>129</v>
      </c>
      <c r="M150">
        <v>90.19</v>
      </c>
    </row>
    <row r="151" spans="1:13">
      <c r="A151" s="216">
        <v>4175</v>
      </c>
      <c r="C151">
        <v>35</v>
      </c>
      <c r="D151">
        <v>342</v>
      </c>
      <c r="E151">
        <v>452</v>
      </c>
      <c r="F151">
        <v>643</v>
      </c>
      <c r="G151">
        <v>15</v>
      </c>
      <c r="H151" s="238">
        <v>0.04</v>
      </c>
      <c r="J151" s="228">
        <v>0.05</v>
      </c>
      <c r="L151">
        <v>129</v>
      </c>
      <c r="M151">
        <v>90.13</v>
      </c>
    </row>
    <row r="152" spans="1:13">
      <c r="A152" s="216">
        <v>3022</v>
      </c>
      <c r="C152">
        <v>317</v>
      </c>
      <c r="D152">
        <v>3969</v>
      </c>
      <c r="E152">
        <v>1346</v>
      </c>
      <c r="F152">
        <v>7357</v>
      </c>
      <c r="G152">
        <v>3279</v>
      </c>
      <c r="H152" s="238">
        <v>0.06</v>
      </c>
      <c r="J152" s="228">
        <v>0.03</v>
      </c>
      <c r="L152">
        <v>138</v>
      </c>
      <c r="M152">
        <v>90.06</v>
      </c>
    </row>
    <row r="153" spans="1:13">
      <c r="A153" s="216">
        <v>3661</v>
      </c>
      <c r="C153">
        <v>101</v>
      </c>
      <c r="D153">
        <v>1275</v>
      </c>
      <c r="E153">
        <v>375</v>
      </c>
      <c r="F153">
        <v>2742</v>
      </c>
      <c r="G153">
        <v>697</v>
      </c>
      <c r="H153" s="238">
        <v>0.06</v>
      </c>
      <c r="J153" s="228">
        <v>0.03</v>
      </c>
      <c r="L153">
        <v>138</v>
      </c>
      <c r="M153">
        <v>89.99</v>
      </c>
    </row>
    <row r="154" spans="1:13">
      <c r="A154" s="216">
        <v>3694</v>
      </c>
      <c r="C154">
        <v>87</v>
      </c>
      <c r="D154">
        <v>508</v>
      </c>
      <c r="E154">
        <v>931</v>
      </c>
      <c r="F154">
        <v>1522</v>
      </c>
      <c r="G154">
        <v>1189</v>
      </c>
      <c r="H154" s="238">
        <v>0.06</v>
      </c>
      <c r="J154" s="228">
        <v>0.03</v>
      </c>
      <c r="L154">
        <v>138</v>
      </c>
      <c r="M154">
        <v>89.93</v>
      </c>
    </row>
    <row r="155" spans="1:13">
      <c r="A155" s="216">
        <v>6196</v>
      </c>
      <c r="C155">
        <v>187</v>
      </c>
      <c r="D155">
        <v>1849</v>
      </c>
      <c r="E155">
        <v>1444</v>
      </c>
      <c r="F155">
        <v>4341</v>
      </c>
      <c r="G155">
        <v>2399</v>
      </c>
      <c r="H155" s="238">
        <v>0.06</v>
      </c>
      <c r="J155" s="228">
        <v>0.03</v>
      </c>
      <c r="L155">
        <v>138</v>
      </c>
      <c r="M155">
        <v>89.86</v>
      </c>
    </row>
    <row r="156" spans="1:13">
      <c r="A156" s="216">
        <v>9945</v>
      </c>
      <c r="C156">
        <v>1048</v>
      </c>
      <c r="D156">
        <v>12477</v>
      </c>
      <c r="E156">
        <v>4183</v>
      </c>
      <c r="F156">
        <v>28578</v>
      </c>
      <c r="G156">
        <v>9730</v>
      </c>
      <c r="H156" s="238">
        <v>0.06</v>
      </c>
      <c r="J156" s="228">
        <v>0.03</v>
      </c>
      <c r="L156">
        <v>138</v>
      </c>
      <c r="M156">
        <v>89.8</v>
      </c>
    </row>
    <row r="157" spans="1:13">
      <c r="A157" s="216">
        <v>1560</v>
      </c>
      <c r="C157">
        <v>157</v>
      </c>
      <c r="D157">
        <v>996</v>
      </c>
      <c r="E157">
        <v>2743</v>
      </c>
      <c r="F157">
        <v>3721</v>
      </c>
      <c r="G157">
        <v>280</v>
      </c>
      <c r="H157" s="238">
        <v>0.04</v>
      </c>
      <c r="J157" s="228">
        <v>0.04</v>
      </c>
      <c r="L157">
        <v>153</v>
      </c>
      <c r="M157">
        <v>89.73</v>
      </c>
    </row>
    <row r="158" spans="1:13">
      <c r="A158" s="216">
        <v>1708</v>
      </c>
      <c r="C158">
        <v>250</v>
      </c>
      <c r="D158">
        <v>442</v>
      </c>
      <c r="E158">
        <v>5132</v>
      </c>
      <c r="F158">
        <v>5225</v>
      </c>
      <c r="G158">
        <v>1115</v>
      </c>
      <c r="H158" s="238">
        <v>0.04</v>
      </c>
      <c r="J158" s="228">
        <v>0.04</v>
      </c>
      <c r="L158">
        <v>153</v>
      </c>
      <c r="M158">
        <v>89.66</v>
      </c>
    </row>
    <row r="159" spans="1:13">
      <c r="A159" s="216">
        <v>2105</v>
      </c>
      <c r="C159">
        <v>4714</v>
      </c>
      <c r="D159">
        <v>10975</v>
      </c>
      <c r="E159">
        <v>108774</v>
      </c>
      <c r="F159">
        <v>88777</v>
      </c>
      <c r="G159">
        <v>24837</v>
      </c>
      <c r="H159" s="238">
        <v>0.04</v>
      </c>
      <c r="J159" s="228">
        <v>0.04</v>
      </c>
      <c r="L159">
        <v>153</v>
      </c>
      <c r="M159">
        <v>89.6</v>
      </c>
    </row>
    <row r="160" spans="1:13">
      <c r="A160" s="216">
        <v>2106</v>
      </c>
      <c r="C160">
        <v>1050</v>
      </c>
      <c r="D160">
        <v>17579</v>
      </c>
      <c r="E160">
        <v>10128</v>
      </c>
      <c r="F160">
        <v>21235</v>
      </c>
      <c r="G160">
        <v>4313</v>
      </c>
      <c r="H160" s="238">
        <v>0.04</v>
      </c>
      <c r="J160" s="228">
        <v>0.04</v>
      </c>
      <c r="L160">
        <v>153</v>
      </c>
      <c r="M160">
        <v>89.53</v>
      </c>
    </row>
    <row r="161" spans="1:13">
      <c r="A161" s="216">
        <v>2325</v>
      </c>
      <c r="C161">
        <v>3066</v>
      </c>
      <c r="D161">
        <v>17929</v>
      </c>
      <c r="E161">
        <v>65594</v>
      </c>
      <c r="F161">
        <v>69239</v>
      </c>
      <c r="G161">
        <v>6868</v>
      </c>
      <c r="H161" s="238">
        <v>0.04</v>
      </c>
      <c r="J161" s="228">
        <v>0.04</v>
      </c>
      <c r="L161">
        <v>153</v>
      </c>
      <c r="M161">
        <v>89.47</v>
      </c>
    </row>
    <row r="162" spans="1:13">
      <c r="A162" s="216">
        <v>2421</v>
      </c>
      <c r="C162">
        <v>166</v>
      </c>
      <c r="D162">
        <v>1952</v>
      </c>
      <c r="E162">
        <v>1794</v>
      </c>
      <c r="F162">
        <v>3909</v>
      </c>
      <c r="G162">
        <v>508</v>
      </c>
      <c r="H162" s="238">
        <v>0.04</v>
      </c>
      <c r="J162" s="228">
        <v>0.04</v>
      </c>
      <c r="L162">
        <v>153</v>
      </c>
      <c r="M162">
        <v>89.4</v>
      </c>
    </row>
    <row r="163" spans="1:13">
      <c r="A163" s="216">
        <v>2437</v>
      </c>
      <c r="C163">
        <v>150</v>
      </c>
      <c r="D163">
        <v>2320</v>
      </c>
      <c r="E163">
        <v>1148</v>
      </c>
      <c r="F163">
        <v>3403</v>
      </c>
      <c r="G163">
        <v>666</v>
      </c>
      <c r="H163" s="238">
        <v>0.04</v>
      </c>
      <c r="J163" s="228">
        <v>0.04</v>
      </c>
      <c r="L163">
        <v>153</v>
      </c>
      <c r="M163">
        <v>89.34</v>
      </c>
    </row>
    <row r="164" spans="1:13">
      <c r="A164" s="216">
        <v>2439</v>
      </c>
      <c r="C164">
        <v>258</v>
      </c>
      <c r="D164">
        <v>3339</v>
      </c>
      <c r="E164">
        <v>2842</v>
      </c>
      <c r="F164">
        <v>5653</v>
      </c>
      <c r="G164">
        <v>155</v>
      </c>
      <c r="H164" s="238">
        <v>0.04</v>
      </c>
      <c r="J164" s="228">
        <v>0.04</v>
      </c>
      <c r="L164">
        <v>153</v>
      </c>
      <c r="M164">
        <v>89.27</v>
      </c>
    </row>
    <row r="165" spans="1:13">
      <c r="A165" s="216">
        <v>2608</v>
      </c>
      <c r="C165">
        <v>376</v>
      </c>
      <c r="D165">
        <v>8</v>
      </c>
      <c r="E165">
        <v>8910</v>
      </c>
      <c r="F165">
        <v>7984</v>
      </c>
      <c r="G165">
        <v>529</v>
      </c>
      <c r="H165" s="238">
        <v>0.04</v>
      </c>
      <c r="J165" s="228">
        <v>0.04</v>
      </c>
      <c r="L165">
        <v>153</v>
      </c>
      <c r="M165">
        <v>89.2</v>
      </c>
    </row>
    <row r="166" spans="1:13">
      <c r="A166" s="216">
        <v>2712</v>
      </c>
      <c r="C166">
        <v>54</v>
      </c>
      <c r="D166">
        <v>0</v>
      </c>
      <c r="E166">
        <v>1497</v>
      </c>
      <c r="F166">
        <v>1293</v>
      </c>
      <c r="G166">
        <v>75</v>
      </c>
      <c r="H166" s="238">
        <v>0.04</v>
      </c>
      <c r="J166" s="228">
        <v>0.04</v>
      </c>
      <c r="L166">
        <v>153</v>
      </c>
      <c r="M166">
        <v>89.14</v>
      </c>
    </row>
    <row r="167" spans="1:13">
      <c r="A167" s="216">
        <v>3004</v>
      </c>
      <c r="C167">
        <v>70</v>
      </c>
      <c r="D167">
        <v>57</v>
      </c>
      <c r="E167">
        <v>1544</v>
      </c>
      <c r="F167">
        <v>1249</v>
      </c>
      <c r="G167">
        <v>314</v>
      </c>
      <c r="H167" s="238">
        <v>0.04</v>
      </c>
      <c r="J167" s="228">
        <v>0.04</v>
      </c>
      <c r="L167">
        <v>153</v>
      </c>
      <c r="M167">
        <v>89.07</v>
      </c>
    </row>
    <row r="168" spans="1:13">
      <c r="A168" s="216">
        <v>3060</v>
      </c>
      <c r="C168">
        <v>183</v>
      </c>
      <c r="D168">
        <v>3179</v>
      </c>
      <c r="E168">
        <v>1367</v>
      </c>
      <c r="F168">
        <v>5041</v>
      </c>
      <c r="G168">
        <v>49</v>
      </c>
      <c r="H168" s="238">
        <v>0.04</v>
      </c>
      <c r="J168" s="228">
        <v>0.04</v>
      </c>
      <c r="L168">
        <v>153</v>
      </c>
      <c r="M168">
        <v>89.01</v>
      </c>
    </row>
    <row r="169" spans="1:13">
      <c r="A169" s="216">
        <v>3376</v>
      </c>
      <c r="C169">
        <v>468</v>
      </c>
      <c r="D169">
        <v>7639</v>
      </c>
      <c r="E169">
        <v>3431</v>
      </c>
      <c r="F169">
        <v>11402</v>
      </c>
      <c r="G169">
        <v>836</v>
      </c>
      <c r="H169" s="238">
        <v>0.04</v>
      </c>
      <c r="J169" s="228">
        <v>0.04</v>
      </c>
      <c r="L169">
        <v>153</v>
      </c>
      <c r="M169">
        <v>88.94</v>
      </c>
    </row>
    <row r="170" spans="1:13">
      <c r="A170" s="216">
        <v>3501</v>
      </c>
      <c r="C170">
        <v>232</v>
      </c>
      <c r="D170">
        <v>3077</v>
      </c>
      <c r="E170">
        <v>2239</v>
      </c>
      <c r="F170">
        <v>5473</v>
      </c>
      <c r="G170">
        <v>289</v>
      </c>
      <c r="H170" s="238">
        <v>0.04</v>
      </c>
      <c r="J170" s="228">
        <v>0.04</v>
      </c>
      <c r="L170">
        <v>153</v>
      </c>
      <c r="M170">
        <v>88.87</v>
      </c>
    </row>
    <row r="171" spans="1:13">
      <c r="A171" s="216">
        <v>3665</v>
      </c>
      <c r="C171">
        <v>173</v>
      </c>
      <c r="D171">
        <v>2753</v>
      </c>
      <c r="E171">
        <v>1295</v>
      </c>
      <c r="F171">
        <v>4260</v>
      </c>
      <c r="G171">
        <v>251</v>
      </c>
      <c r="H171" s="238">
        <v>0.04</v>
      </c>
      <c r="J171" s="228">
        <v>0.04</v>
      </c>
      <c r="L171">
        <v>153</v>
      </c>
      <c r="M171">
        <v>88.81</v>
      </c>
    </row>
    <row r="172" spans="1:13">
      <c r="A172" s="216">
        <v>4555</v>
      </c>
      <c r="C172">
        <v>108</v>
      </c>
      <c r="D172">
        <v>689</v>
      </c>
      <c r="E172">
        <v>1783</v>
      </c>
      <c r="F172">
        <v>2390</v>
      </c>
      <c r="G172">
        <v>532</v>
      </c>
      <c r="H172" s="238">
        <v>0.04</v>
      </c>
      <c r="J172" s="228">
        <v>0.04</v>
      </c>
      <c r="L172">
        <v>153</v>
      </c>
      <c r="M172">
        <v>88.74</v>
      </c>
    </row>
    <row r="173" spans="1:13">
      <c r="A173" s="216">
        <v>5007</v>
      </c>
      <c r="C173">
        <v>241</v>
      </c>
      <c r="D173">
        <v>1795</v>
      </c>
      <c r="E173">
        <v>3562</v>
      </c>
      <c r="F173">
        <v>5184</v>
      </c>
      <c r="G173">
        <v>874</v>
      </c>
      <c r="H173" s="238">
        <v>0.04</v>
      </c>
      <c r="J173" s="228">
        <v>0.04</v>
      </c>
      <c r="L173">
        <v>153</v>
      </c>
      <c r="M173">
        <v>88.68</v>
      </c>
    </row>
    <row r="174" spans="1:13">
      <c r="A174" s="216">
        <v>5234</v>
      </c>
      <c r="C174">
        <v>73</v>
      </c>
      <c r="D174">
        <v>890</v>
      </c>
      <c r="E174">
        <v>1162</v>
      </c>
      <c r="F174">
        <v>1901</v>
      </c>
      <c r="G174">
        <v>176</v>
      </c>
      <c r="H174" s="238">
        <v>0.04</v>
      </c>
      <c r="J174" s="228">
        <v>0.04</v>
      </c>
      <c r="L174">
        <v>153</v>
      </c>
      <c r="M174">
        <v>88.61</v>
      </c>
    </row>
    <row r="175" spans="1:13">
      <c r="A175" s="216">
        <v>6153</v>
      </c>
      <c r="C175">
        <v>385</v>
      </c>
      <c r="D175">
        <v>4175</v>
      </c>
      <c r="E175">
        <v>5460</v>
      </c>
      <c r="F175">
        <v>8365</v>
      </c>
      <c r="G175">
        <v>691</v>
      </c>
      <c r="H175" s="238">
        <v>0.04</v>
      </c>
      <c r="J175" s="228">
        <v>0.04</v>
      </c>
      <c r="L175">
        <v>153</v>
      </c>
      <c r="M175">
        <v>88.55</v>
      </c>
    </row>
    <row r="176" spans="1:13">
      <c r="A176" s="216">
        <v>6192</v>
      </c>
      <c r="C176">
        <v>173</v>
      </c>
      <c r="D176">
        <v>3511</v>
      </c>
      <c r="E176">
        <v>910</v>
      </c>
      <c r="F176">
        <v>4033</v>
      </c>
      <c r="G176">
        <v>94</v>
      </c>
      <c r="H176" s="238">
        <v>0.04</v>
      </c>
      <c r="J176" s="228">
        <v>0.04</v>
      </c>
      <c r="L176">
        <v>153</v>
      </c>
      <c r="M176">
        <v>88.48</v>
      </c>
    </row>
    <row r="177" spans="1:13">
      <c r="A177" s="216">
        <v>6216</v>
      </c>
      <c r="C177">
        <v>55</v>
      </c>
      <c r="D177">
        <v>1208</v>
      </c>
      <c r="E177">
        <v>147</v>
      </c>
      <c r="F177">
        <v>1325</v>
      </c>
      <c r="G177">
        <v>16</v>
      </c>
      <c r="H177" s="238">
        <v>0.04</v>
      </c>
      <c r="J177" s="228">
        <v>0.04</v>
      </c>
      <c r="L177">
        <v>153</v>
      </c>
      <c r="M177">
        <v>88.41</v>
      </c>
    </row>
    <row r="178" spans="1:13">
      <c r="A178" s="216">
        <v>6451</v>
      </c>
      <c r="C178">
        <v>242</v>
      </c>
      <c r="D178">
        <v>4158</v>
      </c>
      <c r="E178">
        <v>1326</v>
      </c>
      <c r="F178">
        <v>5975</v>
      </c>
      <c r="G178">
        <v>348</v>
      </c>
      <c r="H178" s="238">
        <v>0.04</v>
      </c>
      <c r="J178" s="228">
        <v>0.04</v>
      </c>
      <c r="L178">
        <v>153</v>
      </c>
      <c r="M178">
        <v>88.35</v>
      </c>
    </row>
    <row r="179" spans="1:13">
      <c r="A179" s="216">
        <v>8039</v>
      </c>
      <c r="C179">
        <v>326</v>
      </c>
      <c r="D179">
        <v>4753</v>
      </c>
      <c r="E179">
        <v>2652</v>
      </c>
      <c r="F179">
        <v>6765</v>
      </c>
      <c r="G179">
        <v>1311</v>
      </c>
      <c r="H179" s="238">
        <v>0.04</v>
      </c>
      <c r="J179" s="228">
        <v>0.04</v>
      </c>
      <c r="L179">
        <v>153</v>
      </c>
      <c r="M179">
        <v>88.28</v>
      </c>
    </row>
    <row r="180" spans="1:13">
      <c r="A180" s="216">
        <v>8210</v>
      </c>
      <c r="C180">
        <v>119</v>
      </c>
      <c r="D180">
        <v>1477</v>
      </c>
      <c r="E180">
        <v>1225</v>
      </c>
      <c r="F180">
        <v>2611</v>
      </c>
      <c r="G180">
        <v>238</v>
      </c>
      <c r="H180" s="238">
        <v>0.04</v>
      </c>
      <c r="J180" s="228">
        <v>0.04</v>
      </c>
      <c r="L180">
        <v>153</v>
      </c>
      <c r="M180">
        <v>88.22</v>
      </c>
    </row>
    <row r="181" spans="1:13">
      <c r="A181" s="216">
        <v>1593</v>
      </c>
      <c r="C181">
        <v>31</v>
      </c>
      <c r="D181">
        <v>524</v>
      </c>
      <c r="E181">
        <v>278</v>
      </c>
      <c r="F181">
        <v>795</v>
      </c>
      <c r="G181">
        <v>2</v>
      </c>
      <c r="H181" s="238">
        <v>0.04</v>
      </c>
      <c r="J181" s="228">
        <v>0.04</v>
      </c>
      <c r="L181">
        <v>153</v>
      </c>
      <c r="M181">
        <v>88.15</v>
      </c>
    </row>
    <row r="182" spans="1:13">
      <c r="A182" s="216">
        <v>1787</v>
      </c>
      <c r="C182">
        <v>48</v>
      </c>
      <c r="D182">
        <v>597</v>
      </c>
      <c r="E182">
        <v>573</v>
      </c>
      <c r="F182">
        <v>1075</v>
      </c>
      <c r="G182">
        <v>117</v>
      </c>
      <c r="H182" s="238">
        <v>0.04</v>
      </c>
      <c r="J182" s="228">
        <v>0.04</v>
      </c>
      <c r="L182">
        <v>153</v>
      </c>
      <c r="M182">
        <v>88.08</v>
      </c>
    </row>
    <row r="183" spans="1:13">
      <c r="A183" s="216">
        <v>2732</v>
      </c>
      <c r="C183">
        <v>33</v>
      </c>
      <c r="D183">
        <v>484</v>
      </c>
      <c r="E183">
        <v>284</v>
      </c>
      <c r="F183">
        <v>835</v>
      </c>
      <c r="G183">
        <v>75</v>
      </c>
      <c r="H183" s="238">
        <v>0.04</v>
      </c>
      <c r="J183" s="228">
        <v>0.04</v>
      </c>
      <c r="L183">
        <v>153</v>
      </c>
      <c r="M183">
        <v>88.02</v>
      </c>
    </row>
    <row r="184" spans="1:13">
      <c r="A184" s="216">
        <v>3078</v>
      </c>
      <c r="C184">
        <v>164</v>
      </c>
      <c r="D184">
        <v>2268</v>
      </c>
      <c r="E184">
        <v>1409</v>
      </c>
      <c r="F184">
        <v>3811</v>
      </c>
      <c r="G184">
        <v>345</v>
      </c>
      <c r="H184" s="238">
        <v>0.04</v>
      </c>
      <c r="J184" s="228">
        <v>0.04</v>
      </c>
      <c r="L184">
        <v>153</v>
      </c>
      <c r="M184">
        <v>87.95</v>
      </c>
    </row>
    <row r="185" spans="1:13">
      <c r="A185" s="216">
        <v>5603</v>
      </c>
      <c r="C185">
        <v>60</v>
      </c>
      <c r="D185">
        <v>110</v>
      </c>
      <c r="E185">
        <v>1334</v>
      </c>
      <c r="F185">
        <v>1273</v>
      </c>
      <c r="G185">
        <v>311</v>
      </c>
      <c r="H185" s="238">
        <v>0.04</v>
      </c>
      <c r="J185" s="228">
        <v>0.04</v>
      </c>
      <c r="L185">
        <v>153</v>
      </c>
      <c r="M185">
        <v>87.89</v>
      </c>
    </row>
    <row r="186" spans="1:13">
      <c r="A186" s="216">
        <v>1513</v>
      </c>
      <c r="C186">
        <v>292</v>
      </c>
      <c r="D186">
        <v>2691</v>
      </c>
      <c r="E186">
        <v>3387</v>
      </c>
      <c r="F186">
        <v>7690</v>
      </c>
      <c r="G186">
        <v>2323</v>
      </c>
      <c r="H186" s="238">
        <v>0.05</v>
      </c>
      <c r="J186" s="228">
        <v>0.03</v>
      </c>
      <c r="L186">
        <v>158</v>
      </c>
      <c r="M186">
        <v>87.82</v>
      </c>
    </row>
    <row r="187" spans="1:13">
      <c r="A187" s="216">
        <v>1515</v>
      </c>
      <c r="C187">
        <v>131</v>
      </c>
      <c r="D187">
        <v>449</v>
      </c>
      <c r="E187">
        <v>2344</v>
      </c>
      <c r="F187">
        <v>2449</v>
      </c>
      <c r="G187">
        <v>1341</v>
      </c>
      <c r="H187" s="238">
        <v>0.05</v>
      </c>
      <c r="J187" s="228">
        <v>0.03</v>
      </c>
      <c r="L187">
        <v>158</v>
      </c>
      <c r="M187">
        <v>87.76</v>
      </c>
    </row>
    <row r="188" spans="1:13">
      <c r="A188" s="216">
        <v>1590</v>
      </c>
      <c r="C188">
        <v>574</v>
      </c>
      <c r="D188">
        <v>327</v>
      </c>
      <c r="E188">
        <v>12089</v>
      </c>
      <c r="F188">
        <v>10421</v>
      </c>
      <c r="G188">
        <v>6899</v>
      </c>
      <c r="H188" s="238">
        <v>0.05</v>
      </c>
      <c r="J188" s="228">
        <v>0.03</v>
      </c>
      <c r="L188">
        <v>158</v>
      </c>
      <c r="M188">
        <v>87.69</v>
      </c>
    </row>
    <row r="189" spans="1:13">
      <c r="A189" s="216">
        <v>2357</v>
      </c>
      <c r="C189">
        <v>5253</v>
      </c>
      <c r="D189">
        <v>89829</v>
      </c>
      <c r="E189">
        <v>9269</v>
      </c>
      <c r="F189">
        <v>169334</v>
      </c>
      <c r="G189">
        <v>3913</v>
      </c>
      <c r="H189" s="238">
        <v>0.05</v>
      </c>
      <c r="J189" s="228">
        <v>0.03</v>
      </c>
      <c r="L189">
        <v>158</v>
      </c>
      <c r="M189">
        <v>87.62</v>
      </c>
    </row>
    <row r="190" spans="1:13">
      <c r="A190" s="216">
        <v>2454</v>
      </c>
      <c r="C190">
        <v>7785</v>
      </c>
      <c r="D190">
        <v>116551</v>
      </c>
      <c r="E190">
        <v>30473</v>
      </c>
      <c r="F190">
        <v>237075</v>
      </c>
      <c r="G190">
        <v>57085</v>
      </c>
      <c r="H190" s="238">
        <v>0.05</v>
      </c>
      <c r="J190" s="228">
        <v>0.03</v>
      </c>
      <c r="L190">
        <v>158</v>
      </c>
      <c r="M190">
        <v>87.56</v>
      </c>
    </row>
    <row r="191" spans="1:13">
      <c r="A191" s="216">
        <v>2923</v>
      </c>
      <c r="C191">
        <v>1953</v>
      </c>
      <c r="D191">
        <v>34791</v>
      </c>
      <c r="E191">
        <v>992</v>
      </c>
      <c r="F191">
        <v>58608</v>
      </c>
      <c r="G191">
        <v>5142</v>
      </c>
      <c r="H191" s="238">
        <v>0.05</v>
      </c>
      <c r="J191" s="228">
        <v>0.03</v>
      </c>
      <c r="L191">
        <v>158</v>
      </c>
      <c r="M191">
        <v>87.49</v>
      </c>
    </row>
    <row r="192" spans="1:13">
      <c r="A192" s="216">
        <v>3035</v>
      </c>
      <c r="C192">
        <v>184</v>
      </c>
      <c r="D192">
        <v>2889</v>
      </c>
      <c r="E192">
        <v>596</v>
      </c>
      <c r="F192">
        <v>5207</v>
      </c>
      <c r="G192">
        <v>152</v>
      </c>
      <c r="H192" s="238">
        <v>0.05</v>
      </c>
      <c r="J192" s="228">
        <v>0.03</v>
      </c>
      <c r="L192">
        <v>158</v>
      </c>
      <c r="M192">
        <v>87.43</v>
      </c>
    </row>
    <row r="193" spans="1:13">
      <c r="A193" s="216">
        <v>6166</v>
      </c>
      <c r="C193">
        <v>157</v>
      </c>
      <c r="D193">
        <v>1870</v>
      </c>
      <c r="E193">
        <v>1128</v>
      </c>
      <c r="F193">
        <v>3815</v>
      </c>
      <c r="G193">
        <v>1093</v>
      </c>
      <c r="H193" s="238">
        <v>0.05</v>
      </c>
      <c r="J193" s="228">
        <v>0.03</v>
      </c>
      <c r="L193">
        <v>158</v>
      </c>
      <c r="M193">
        <v>87.36</v>
      </c>
    </row>
    <row r="194" spans="1:13">
      <c r="A194" s="216">
        <v>6183</v>
      </c>
      <c r="C194">
        <v>68</v>
      </c>
      <c r="D194">
        <v>867</v>
      </c>
      <c r="E194">
        <v>568</v>
      </c>
      <c r="F194">
        <v>2014</v>
      </c>
      <c r="G194">
        <v>3</v>
      </c>
      <c r="H194" s="238">
        <v>0.05</v>
      </c>
      <c r="J194" s="228">
        <v>0.03</v>
      </c>
      <c r="L194">
        <v>158</v>
      </c>
      <c r="M194">
        <v>87.29</v>
      </c>
    </row>
    <row r="195" spans="1:13">
      <c r="A195" s="216">
        <v>8404</v>
      </c>
      <c r="C195">
        <v>163</v>
      </c>
      <c r="D195">
        <v>2049</v>
      </c>
      <c r="E195">
        <v>1573</v>
      </c>
      <c r="F195">
        <v>4737</v>
      </c>
      <c r="G195">
        <v>1234</v>
      </c>
      <c r="H195" s="238">
        <v>0.05</v>
      </c>
      <c r="J195" s="228">
        <v>0.03</v>
      </c>
      <c r="L195">
        <v>158</v>
      </c>
      <c r="M195">
        <v>87.23</v>
      </c>
    </row>
    <row r="196" spans="1:13">
      <c r="A196" s="216">
        <v>9911</v>
      </c>
      <c r="C196">
        <v>133</v>
      </c>
      <c r="D196">
        <v>1292</v>
      </c>
      <c r="E196">
        <v>1396</v>
      </c>
      <c r="F196">
        <v>4156</v>
      </c>
      <c r="G196">
        <v>50</v>
      </c>
      <c r="H196" s="238">
        <v>0.05</v>
      </c>
      <c r="J196" s="228">
        <v>0.03</v>
      </c>
      <c r="L196">
        <v>158</v>
      </c>
      <c r="M196">
        <v>87.16</v>
      </c>
    </row>
    <row r="197" spans="1:13">
      <c r="A197" s="216">
        <v>1795</v>
      </c>
      <c r="C197">
        <v>243</v>
      </c>
      <c r="D197">
        <v>2638</v>
      </c>
      <c r="E197">
        <v>1931</v>
      </c>
      <c r="F197">
        <v>8749</v>
      </c>
      <c r="G197">
        <v>640</v>
      </c>
      <c r="H197" s="238">
        <v>0.05</v>
      </c>
      <c r="J197" s="228">
        <v>0.03</v>
      </c>
      <c r="L197">
        <v>158</v>
      </c>
      <c r="M197">
        <v>87.1</v>
      </c>
    </row>
    <row r="198" spans="1:13">
      <c r="A198" s="216">
        <v>3144</v>
      </c>
      <c r="C198">
        <v>68</v>
      </c>
      <c r="D198">
        <v>723</v>
      </c>
      <c r="E198">
        <v>644</v>
      </c>
      <c r="F198">
        <v>1353</v>
      </c>
      <c r="G198">
        <v>667</v>
      </c>
      <c r="H198" s="238">
        <v>0.05</v>
      </c>
      <c r="J198" s="228">
        <v>0.03</v>
      </c>
      <c r="L198">
        <v>158</v>
      </c>
      <c r="M198">
        <v>87.03</v>
      </c>
    </row>
    <row r="199" spans="1:13">
      <c r="A199" s="216">
        <v>3294</v>
      </c>
      <c r="C199">
        <v>126</v>
      </c>
      <c r="D199">
        <v>1079</v>
      </c>
      <c r="E199">
        <v>1415</v>
      </c>
      <c r="F199">
        <v>2649</v>
      </c>
      <c r="G199">
        <v>1349</v>
      </c>
      <c r="H199" s="238">
        <v>0.05</v>
      </c>
      <c r="J199" s="228">
        <v>0.03</v>
      </c>
      <c r="L199">
        <v>158</v>
      </c>
      <c r="M199">
        <v>86.97</v>
      </c>
    </row>
    <row r="200" spans="1:13">
      <c r="A200" s="216">
        <v>4528</v>
      </c>
      <c r="C200">
        <v>79</v>
      </c>
      <c r="D200">
        <v>57</v>
      </c>
      <c r="E200">
        <v>1689</v>
      </c>
      <c r="F200">
        <v>1647</v>
      </c>
      <c r="G200">
        <v>794</v>
      </c>
      <c r="H200" s="238">
        <v>0.05</v>
      </c>
      <c r="J200" s="228">
        <v>0.03</v>
      </c>
      <c r="L200">
        <v>158</v>
      </c>
      <c r="M200">
        <v>86.9</v>
      </c>
    </row>
    <row r="201" spans="1:13">
      <c r="A201" s="216">
        <v>6207</v>
      </c>
      <c r="C201">
        <v>80</v>
      </c>
      <c r="D201">
        <v>1270</v>
      </c>
      <c r="E201">
        <v>243</v>
      </c>
      <c r="F201">
        <v>1594</v>
      </c>
      <c r="G201">
        <v>1177</v>
      </c>
      <c r="H201" s="238">
        <v>0.05</v>
      </c>
      <c r="J201" s="228">
        <v>0.03</v>
      </c>
      <c r="L201">
        <v>158</v>
      </c>
      <c r="M201">
        <v>86.83</v>
      </c>
    </row>
    <row r="202" spans="1:13">
      <c r="A202" s="216">
        <v>1323</v>
      </c>
      <c r="C202">
        <v>94</v>
      </c>
      <c r="D202">
        <v>1350</v>
      </c>
      <c r="E202">
        <v>1568</v>
      </c>
      <c r="F202">
        <v>1907</v>
      </c>
      <c r="G202">
        <v>33</v>
      </c>
      <c r="H202" s="238">
        <v>0.03</v>
      </c>
      <c r="J202" s="228">
        <v>0.05</v>
      </c>
      <c r="L202">
        <v>172</v>
      </c>
      <c r="M202">
        <v>86.77</v>
      </c>
    </row>
    <row r="203" spans="1:13">
      <c r="A203" s="216">
        <v>2618</v>
      </c>
      <c r="C203">
        <v>3541</v>
      </c>
      <c r="D203">
        <v>0</v>
      </c>
      <c r="E203">
        <v>114030</v>
      </c>
      <c r="F203">
        <v>55640</v>
      </c>
      <c r="G203">
        <v>20245</v>
      </c>
      <c r="H203" s="238">
        <v>0.03</v>
      </c>
      <c r="J203" s="228">
        <v>0.05</v>
      </c>
      <c r="L203">
        <v>172</v>
      </c>
      <c r="M203">
        <v>86.7</v>
      </c>
    </row>
    <row r="204" spans="1:13">
      <c r="A204" s="216">
        <v>8076</v>
      </c>
      <c r="C204">
        <v>95</v>
      </c>
      <c r="D204">
        <v>885</v>
      </c>
      <c r="E204">
        <v>384</v>
      </c>
      <c r="F204">
        <v>4567</v>
      </c>
      <c r="G204">
        <v>1485</v>
      </c>
      <c r="H204" s="238">
        <v>7.0000000000000007E-2</v>
      </c>
      <c r="J204" s="228">
        <v>0.02</v>
      </c>
      <c r="L204">
        <v>174</v>
      </c>
      <c r="M204">
        <v>86.64</v>
      </c>
    </row>
    <row r="205" spans="1:13">
      <c r="A205" s="216">
        <v>3209</v>
      </c>
      <c r="C205">
        <v>138</v>
      </c>
      <c r="D205">
        <v>1787</v>
      </c>
      <c r="E205">
        <v>341</v>
      </c>
      <c r="F205">
        <v>2005</v>
      </c>
      <c r="G205">
        <v>4011</v>
      </c>
      <c r="H205" s="238">
        <v>0.06</v>
      </c>
      <c r="J205" s="228">
        <v>0.02</v>
      </c>
      <c r="L205">
        <v>186</v>
      </c>
      <c r="M205">
        <v>86.57</v>
      </c>
    </row>
    <row r="206" spans="1:13">
      <c r="A206" s="216">
        <v>6139</v>
      </c>
      <c r="C206">
        <v>268</v>
      </c>
      <c r="D206">
        <v>3107</v>
      </c>
      <c r="E206">
        <v>1467</v>
      </c>
      <c r="F206">
        <v>9277</v>
      </c>
      <c r="G206">
        <v>2409</v>
      </c>
      <c r="H206" s="238">
        <v>0.06</v>
      </c>
      <c r="J206" s="228">
        <v>0.02</v>
      </c>
      <c r="L206">
        <v>186</v>
      </c>
      <c r="M206">
        <v>86.5</v>
      </c>
    </row>
    <row r="207" spans="1:13">
      <c r="A207" s="216">
        <v>5530</v>
      </c>
      <c r="C207">
        <v>378</v>
      </c>
      <c r="D207">
        <v>0</v>
      </c>
      <c r="E207">
        <v>6499</v>
      </c>
      <c r="F207">
        <v>9264</v>
      </c>
      <c r="G207">
        <v>6245</v>
      </c>
      <c r="H207" s="238">
        <v>0.06</v>
      </c>
      <c r="J207" s="228">
        <v>0.02</v>
      </c>
      <c r="L207">
        <v>186</v>
      </c>
      <c r="M207">
        <v>86.44</v>
      </c>
    </row>
    <row r="208" spans="1:13">
      <c r="A208" s="216">
        <v>1216</v>
      </c>
      <c r="C208">
        <v>6723</v>
      </c>
      <c r="D208">
        <v>0</v>
      </c>
      <c r="E208">
        <v>162028</v>
      </c>
      <c r="F208">
        <v>156804</v>
      </c>
      <c r="G208">
        <v>65001</v>
      </c>
      <c r="H208" s="238">
        <v>0.04</v>
      </c>
      <c r="J208" s="228">
        <v>0.03</v>
      </c>
      <c r="L208">
        <v>188</v>
      </c>
      <c r="M208">
        <v>86.37</v>
      </c>
    </row>
    <row r="209" spans="1:13">
      <c r="A209" s="216">
        <v>1338</v>
      </c>
      <c r="C209">
        <v>224</v>
      </c>
      <c r="D209">
        <v>3113</v>
      </c>
      <c r="E209">
        <v>2596</v>
      </c>
      <c r="F209">
        <v>6530</v>
      </c>
      <c r="G209">
        <v>545</v>
      </c>
      <c r="H209" s="238">
        <v>0.04</v>
      </c>
      <c r="J209" s="228">
        <v>0.03</v>
      </c>
      <c r="L209">
        <v>188</v>
      </c>
      <c r="M209">
        <v>86.31</v>
      </c>
    </row>
    <row r="210" spans="1:13">
      <c r="A210" s="216">
        <v>1451</v>
      </c>
      <c r="C210">
        <v>304</v>
      </c>
      <c r="D210">
        <v>5203</v>
      </c>
      <c r="E210">
        <v>3074</v>
      </c>
      <c r="F210">
        <v>9752</v>
      </c>
      <c r="G210">
        <v>664</v>
      </c>
      <c r="H210" s="238">
        <v>0.04</v>
      </c>
      <c r="J210" s="228">
        <v>0.03</v>
      </c>
      <c r="L210">
        <v>188</v>
      </c>
      <c r="M210">
        <v>86.24</v>
      </c>
    </row>
    <row r="211" spans="1:13">
      <c r="A211" s="216">
        <v>1530</v>
      </c>
      <c r="C211">
        <v>113</v>
      </c>
      <c r="D211">
        <v>1269</v>
      </c>
      <c r="E211">
        <v>1917</v>
      </c>
      <c r="F211">
        <v>2784</v>
      </c>
      <c r="G211">
        <v>1725</v>
      </c>
      <c r="H211" s="238">
        <v>0.04</v>
      </c>
      <c r="J211" s="228">
        <v>0.03</v>
      </c>
      <c r="L211">
        <v>188</v>
      </c>
      <c r="M211">
        <v>86.18</v>
      </c>
    </row>
    <row r="212" spans="1:13">
      <c r="A212" s="216">
        <v>1583</v>
      </c>
      <c r="C212">
        <v>248</v>
      </c>
      <c r="D212">
        <v>2522</v>
      </c>
      <c r="E212">
        <v>3403</v>
      </c>
      <c r="F212">
        <v>5230</v>
      </c>
      <c r="G212">
        <v>3509</v>
      </c>
      <c r="H212" s="238">
        <v>0.04</v>
      </c>
      <c r="J212" s="228">
        <v>0.03</v>
      </c>
      <c r="L212">
        <v>188</v>
      </c>
      <c r="M212">
        <v>86.11</v>
      </c>
    </row>
    <row r="213" spans="1:13">
      <c r="A213" s="216">
        <v>1773</v>
      </c>
      <c r="C213">
        <v>126</v>
      </c>
      <c r="D213">
        <v>1287</v>
      </c>
      <c r="E213">
        <v>1525</v>
      </c>
      <c r="F213">
        <v>3877</v>
      </c>
      <c r="G213">
        <v>99</v>
      </c>
      <c r="H213" s="238">
        <v>0.04</v>
      </c>
      <c r="J213" s="228">
        <v>0.03</v>
      </c>
      <c r="L213">
        <v>188</v>
      </c>
      <c r="M213">
        <v>86.04</v>
      </c>
    </row>
    <row r="214" spans="1:13">
      <c r="A214" s="216">
        <v>2062</v>
      </c>
      <c r="C214">
        <v>173</v>
      </c>
      <c r="D214">
        <v>535</v>
      </c>
      <c r="E214">
        <v>4268</v>
      </c>
      <c r="F214">
        <v>5007</v>
      </c>
      <c r="G214">
        <v>1661</v>
      </c>
      <c r="H214" s="238">
        <v>0.04</v>
      </c>
      <c r="J214" s="228">
        <v>0.03</v>
      </c>
      <c r="L214">
        <v>188</v>
      </c>
      <c r="M214">
        <v>85.98</v>
      </c>
    </row>
    <row r="215" spans="1:13">
      <c r="A215" s="216">
        <v>2104</v>
      </c>
      <c r="C215">
        <v>624</v>
      </c>
      <c r="D215">
        <v>7942</v>
      </c>
      <c r="E215">
        <v>9367</v>
      </c>
      <c r="F215">
        <v>18435</v>
      </c>
      <c r="G215">
        <v>5872</v>
      </c>
      <c r="H215" s="238">
        <v>0.04</v>
      </c>
      <c r="J215" s="228">
        <v>0.03</v>
      </c>
      <c r="L215">
        <v>188</v>
      </c>
      <c r="M215">
        <v>85.91</v>
      </c>
    </row>
    <row r="216" spans="1:13">
      <c r="A216" s="216">
        <v>2236</v>
      </c>
      <c r="C216">
        <v>43</v>
      </c>
      <c r="D216">
        <v>796</v>
      </c>
      <c r="E216">
        <v>390</v>
      </c>
      <c r="F216">
        <v>1306</v>
      </c>
      <c r="G216">
        <v>139</v>
      </c>
      <c r="H216" s="238">
        <v>0.04</v>
      </c>
      <c r="J216" s="228">
        <v>0.03</v>
      </c>
      <c r="L216">
        <v>188</v>
      </c>
      <c r="M216">
        <v>85.85</v>
      </c>
    </row>
    <row r="217" spans="1:13">
      <c r="A217" s="216">
        <v>2311</v>
      </c>
      <c r="C217">
        <v>6957</v>
      </c>
      <c r="D217">
        <v>37257</v>
      </c>
      <c r="E217">
        <v>152981</v>
      </c>
      <c r="F217">
        <v>164283</v>
      </c>
      <c r="G217">
        <v>50351</v>
      </c>
      <c r="H217" s="238">
        <v>0.04</v>
      </c>
      <c r="J217" s="228">
        <v>0.03</v>
      </c>
      <c r="L217">
        <v>188</v>
      </c>
      <c r="M217">
        <v>85.78</v>
      </c>
    </row>
    <row r="218" spans="1:13">
      <c r="A218" s="216">
        <v>2329</v>
      </c>
      <c r="C218">
        <v>334</v>
      </c>
      <c r="D218">
        <v>0</v>
      </c>
      <c r="E218">
        <v>7837</v>
      </c>
      <c r="F218">
        <v>5886</v>
      </c>
      <c r="G218">
        <v>5028</v>
      </c>
      <c r="H218" s="238">
        <v>0.04</v>
      </c>
      <c r="J218" s="228">
        <v>0.03</v>
      </c>
      <c r="L218">
        <v>188</v>
      </c>
      <c r="M218">
        <v>85.71</v>
      </c>
    </row>
    <row r="219" spans="1:13">
      <c r="A219" s="216">
        <v>2354</v>
      </c>
      <c r="C219">
        <v>3166</v>
      </c>
      <c r="D219">
        <v>67834</v>
      </c>
      <c r="E219">
        <v>12742</v>
      </c>
      <c r="F219">
        <v>88315</v>
      </c>
      <c r="G219">
        <v>19060</v>
      </c>
      <c r="H219" s="238">
        <v>0.04</v>
      </c>
      <c r="J219" s="228">
        <v>0.03</v>
      </c>
      <c r="L219">
        <v>188</v>
      </c>
      <c r="M219">
        <v>85.65</v>
      </c>
    </row>
    <row r="220" spans="1:13">
      <c r="A220" s="216">
        <v>2387</v>
      </c>
      <c r="C220">
        <v>313</v>
      </c>
      <c r="D220">
        <v>4362</v>
      </c>
      <c r="E220">
        <v>4543</v>
      </c>
      <c r="F220">
        <v>9391</v>
      </c>
      <c r="G220">
        <v>1406</v>
      </c>
      <c r="H220" s="238">
        <v>0.04</v>
      </c>
      <c r="J220" s="228">
        <v>0.03</v>
      </c>
      <c r="L220">
        <v>188</v>
      </c>
      <c r="M220">
        <v>85.58</v>
      </c>
    </row>
    <row r="221" spans="1:13">
      <c r="A221" s="216">
        <v>2425</v>
      </c>
      <c r="C221">
        <v>64</v>
      </c>
      <c r="D221">
        <v>1562</v>
      </c>
      <c r="E221">
        <v>162</v>
      </c>
      <c r="F221">
        <v>1738</v>
      </c>
      <c r="G221">
        <v>366</v>
      </c>
      <c r="H221" s="238">
        <v>0.04</v>
      </c>
      <c r="J221" s="228">
        <v>0.03</v>
      </c>
      <c r="L221">
        <v>188</v>
      </c>
      <c r="M221">
        <v>85.52</v>
      </c>
    </row>
    <row r="222" spans="1:13">
      <c r="A222" s="216">
        <v>2477</v>
      </c>
      <c r="C222">
        <v>103</v>
      </c>
      <c r="D222">
        <v>1747</v>
      </c>
      <c r="E222">
        <v>1093</v>
      </c>
      <c r="F222">
        <v>3609</v>
      </c>
      <c r="G222">
        <v>360</v>
      </c>
      <c r="H222" s="238">
        <v>0.04</v>
      </c>
      <c r="J222" s="228">
        <v>0.03</v>
      </c>
      <c r="L222">
        <v>188</v>
      </c>
      <c r="M222">
        <v>85.45</v>
      </c>
    </row>
    <row r="223" spans="1:13">
      <c r="A223" s="216">
        <v>2480</v>
      </c>
      <c r="C223">
        <v>79</v>
      </c>
      <c r="D223">
        <v>1861</v>
      </c>
      <c r="E223">
        <v>385</v>
      </c>
      <c r="F223">
        <v>2691</v>
      </c>
      <c r="G223">
        <v>8</v>
      </c>
      <c r="H223" s="238">
        <v>0.04</v>
      </c>
      <c r="J223" s="228">
        <v>0.03</v>
      </c>
      <c r="L223">
        <v>188</v>
      </c>
      <c r="M223">
        <v>85.39</v>
      </c>
    </row>
    <row r="224" spans="1:13">
      <c r="A224" s="216">
        <v>3533</v>
      </c>
      <c r="C224">
        <v>259</v>
      </c>
      <c r="D224">
        <v>4655</v>
      </c>
      <c r="E224">
        <v>2262</v>
      </c>
      <c r="F224">
        <v>7953</v>
      </c>
      <c r="G224">
        <v>953</v>
      </c>
      <c r="H224" s="238">
        <v>0.04</v>
      </c>
      <c r="J224" s="228">
        <v>0.03</v>
      </c>
      <c r="L224">
        <v>188</v>
      </c>
      <c r="M224">
        <v>85.32</v>
      </c>
    </row>
    <row r="225" spans="1:13">
      <c r="A225" s="216">
        <v>3679</v>
      </c>
      <c r="C225">
        <v>196</v>
      </c>
      <c r="D225">
        <v>3754</v>
      </c>
      <c r="E225">
        <v>1667</v>
      </c>
      <c r="F225">
        <v>4794</v>
      </c>
      <c r="G225">
        <v>876</v>
      </c>
      <c r="H225" s="238">
        <v>0.04</v>
      </c>
      <c r="J225" s="228">
        <v>0.03</v>
      </c>
      <c r="L225">
        <v>188</v>
      </c>
      <c r="M225">
        <v>85.25</v>
      </c>
    </row>
    <row r="226" spans="1:13">
      <c r="A226" s="216">
        <v>3705</v>
      </c>
      <c r="C226">
        <v>202</v>
      </c>
      <c r="D226">
        <v>2470</v>
      </c>
      <c r="E226">
        <v>2775</v>
      </c>
      <c r="F226">
        <v>5889</v>
      </c>
      <c r="G226">
        <v>859</v>
      </c>
      <c r="H226" s="238">
        <v>0.04</v>
      </c>
      <c r="J226" s="228">
        <v>0.03</v>
      </c>
      <c r="L226">
        <v>188</v>
      </c>
      <c r="M226">
        <v>85.19</v>
      </c>
    </row>
    <row r="227" spans="1:13">
      <c r="A227" s="216">
        <v>4119</v>
      </c>
      <c r="C227">
        <v>97</v>
      </c>
      <c r="D227">
        <v>687</v>
      </c>
      <c r="E227">
        <v>1795</v>
      </c>
      <c r="F227">
        <v>2596</v>
      </c>
      <c r="G227">
        <v>304</v>
      </c>
      <c r="H227" s="238">
        <v>0.04</v>
      </c>
      <c r="J227" s="228">
        <v>0.03</v>
      </c>
      <c r="L227">
        <v>188</v>
      </c>
      <c r="M227">
        <v>85.12</v>
      </c>
    </row>
    <row r="228" spans="1:13">
      <c r="A228" s="216">
        <v>4536</v>
      </c>
      <c r="C228">
        <v>184</v>
      </c>
      <c r="D228">
        <v>2319</v>
      </c>
      <c r="E228">
        <v>2849</v>
      </c>
      <c r="F228">
        <v>5135</v>
      </c>
      <c r="G228">
        <v>1521</v>
      </c>
      <c r="H228" s="238">
        <v>0.04</v>
      </c>
      <c r="J228" s="228">
        <v>0.03</v>
      </c>
      <c r="L228">
        <v>188</v>
      </c>
      <c r="M228">
        <v>85.06</v>
      </c>
    </row>
    <row r="229" spans="1:13">
      <c r="A229" s="216">
        <v>6449</v>
      </c>
      <c r="C229">
        <v>54</v>
      </c>
      <c r="D229">
        <v>320</v>
      </c>
      <c r="E229">
        <v>948</v>
      </c>
      <c r="F229">
        <v>1282</v>
      </c>
      <c r="G229">
        <v>640</v>
      </c>
      <c r="H229" s="238">
        <v>0.04</v>
      </c>
      <c r="J229" s="228">
        <v>0.03</v>
      </c>
      <c r="L229">
        <v>188</v>
      </c>
      <c r="M229">
        <v>84.99</v>
      </c>
    </row>
    <row r="230" spans="1:13">
      <c r="A230" s="216">
        <v>6605</v>
      </c>
      <c r="C230">
        <v>477</v>
      </c>
      <c r="D230">
        <v>1758</v>
      </c>
      <c r="E230">
        <v>11648</v>
      </c>
      <c r="F230">
        <v>10916</v>
      </c>
      <c r="G230">
        <v>4416</v>
      </c>
      <c r="H230" s="238">
        <v>0.04</v>
      </c>
      <c r="J230" s="228">
        <v>0.03</v>
      </c>
      <c r="L230">
        <v>188</v>
      </c>
      <c r="M230">
        <v>84.92</v>
      </c>
    </row>
    <row r="231" spans="1:13">
      <c r="A231" s="216">
        <v>1591</v>
      </c>
      <c r="C231">
        <v>15</v>
      </c>
      <c r="D231">
        <v>0</v>
      </c>
      <c r="E231">
        <v>402</v>
      </c>
      <c r="F231">
        <v>311</v>
      </c>
      <c r="G231">
        <v>195</v>
      </c>
      <c r="H231" s="238">
        <v>0.04</v>
      </c>
      <c r="J231" s="228">
        <v>0.03</v>
      </c>
      <c r="L231">
        <v>188</v>
      </c>
      <c r="M231">
        <v>84.86</v>
      </c>
    </row>
    <row r="232" spans="1:13">
      <c r="A232" s="216">
        <v>3511</v>
      </c>
      <c r="C232">
        <v>24</v>
      </c>
      <c r="D232">
        <v>215</v>
      </c>
      <c r="E232">
        <v>378</v>
      </c>
      <c r="F232">
        <v>706</v>
      </c>
      <c r="G232">
        <v>119</v>
      </c>
      <c r="H232" s="238">
        <v>0.04</v>
      </c>
      <c r="J232" s="228">
        <v>0.03</v>
      </c>
      <c r="L232">
        <v>188</v>
      </c>
      <c r="M232">
        <v>84.79</v>
      </c>
    </row>
    <row r="233" spans="1:13">
      <c r="A233" s="216">
        <v>3521</v>
      </c>
      <c r="C233">
        <v>17</v>
      </c>
      <c r="D233">
        <v>209</v>
      </c>
      <c r="E233">
        <v>173</v>
      </c>
      <c r="F233">
        <v>458</v>
      </c>
      <c r="G233">
        <v>190</v>
      </c>
      <c r="H233" s="238">
        <v>0.04</v>
      </c>
      <c r="J233" s="228">
        <v>0.03</v>
      </c>
      <c r="L233">
        <v>188</v>
      </c>
      <c r="M233">
        <v>84.73</v>
      </c>
    </row>
    <row r="234" spans="1:13">
      <c r="A234" s="216">
        <v>3556</v>
      </c>
      <c r="C234">
        <v>43</v>
      </c>
      <c r="D234">
        <v>961</v>
      </c>
      <c r="E234">
        <v>4</v>
      </c>
      <c r="F234">
        <v>1156</v>
      </c>
      <c r="G234">
        <v>90</v>
      </c>
      <c r="H234" s="238">
        <v>0.04</v>
      </c>
      <c r="J234" s="228">
        <v>0.03</v>
      </c>
      <c r="L234">
        <v>188</v>
      </c>
      <c r="M234">
        <v>84.66</v>
      </c>
    </row>
    <row r="235" spans="1:13">
      <c r="A235" s="216">
        <v>4527</v>
      </c>
      <c r="C235">
        <v>51</v>
      </c>
      <c r="D235">
        <v>779</v>
      </c>
      <c r="E235">
        <v>547</v>
      </c>
      <c r="F235">
        <v>1310</v>
      </c>
      <c r="G235">
        <v>190</v>
      </c>
      <c r="H235" s="238">
        <v>0.04</v>
      </c>
      <c r="J235" s="228">
        <v>0.03</v>
      </c>
      <c r="L235">
        <v>188</v>
      </c>
      <c r="M235">
        <v>84.6</v>
      </c>
    </row>
    <row r="236" spans="1:13">
      <c r="A236" s="216">
        <v>5371</v>
      </c>
      <c r="C236">
        <v>941</v>
      </c>
      <c r="D236">
        <v>14921</v>
      </c>
      <c r="E236">
        <v>9118</v>
      </c>
      <c r="F236">
        <v>25420</v>
      </c>
      <c r="G236">
        <v>9509</v>
      </c>
      <c r="H236" s="238">
        <v>0.04</v>
      </c>
      <c r="J236" s="228">
        <v>0.03</v>
      </c>
      <c r="L236">
        <v>188</v>
      </c>
      <c r="M236">
        <v>84.53</v>
      </c>
    </row>
    <row r="237" spans="1:13">
      <c r="A237" s="216">
        <v>6104</v>
      </c>
      <c r="C237">
        <v>48</v>
      </c>
      <c r="D237">
        <v>694</v>
      </c>
      <c r="E237">
        <v>475</v>
      </c>
      <c r="F237">
        <v>1377</v>
      </c>
      <c r="G237">
        <v>10</v>
      </c>
      <c r="H237" s="238">
        <v>0.04</v>
      </c>
      <c r="J237" s="228">
        <v>0.03</v>
      </c>
      <c r="L237">
        <v>188</v>
      </c>
      <c r="M237">
        <v>84.46</v>
      </c>
    </row>
    <row r="238" spans="1:13">
      <c r="A238" s="216">
        <v>6218</v>
      </c>
      <c r="C238">
        <v>33</v>
      </c>
      <c r="D238">
        <v>596</v>
      </c>
      <c r="E238">
        <v>308</v>
      </c>
      <c r="F238">
        <v>1005</v>
      </c>
      <c r="G238">
        <v>100</v>
      </c>
      <c r="H238" s="238">
        <v>0.04</v>
      </c>
      <c r="J238" s="228">
        <v>0.03</v>
      </c>
      <c r="L238">
        <v>188</v>
      </c>
      <c r="M238">
        <v>84.4</v>
      </c>
    </row>
    <row r="239" spans="1:13">
      <c r="A239" s="216">
        <v>8088</v>
      </c>
      <c r="C239">
        <v>29</v>
      </c>
      <c r="D239">
        <v>429</v>
      </c>
      <c r="E239">
        <v>382</v>
      </c>
      <c r="F239">
        <v>851</v>
      </c>
      <c r="G239">
        <v>31</v>
      </c>
      <c r="H239" s="238">
        <v>0.04</v>
      </c>
      <c r="J239" s="228">
        <v>0.03</v>
      </c>
      <c r="L239">
        <v>188</v>
      </c>
      <c r="M239">
        <v>84.33</v>
      </c>
    </row>
    <row r="240" spans="1:13">
      <c r="A240" s="216">
        <v>8942</v>
      </c>
      <c r="C240">
        <v>247</v>
      </c>
      <c r="D240">
        <v>2173</v>
      </c>
      <c r="E240">
        <v>4080</v>
      </c>
      <c r="F240">
        <v>7013</v>
      </c>
      <c r="G240">
        <v>1775</v>
      </c>
      <c r="H240" s="238">
        <v>0.04</v>
      </c>
      <c r="J240" s="228">
        <v>0.03</v>
      </c>
      <c r="L240">
        <v>188</v>
      </c>
      <c r="M240">
        <v>84.27</v>
      </c>
    </row>
    <row r="241" spans="1:13">
      <c r="A241" s="216">
        <v>1307</v>
      </c>
      <c r="C241">
        <v>351</v>
      </c>
      <c r="D241">
        <v>4251</v>
      </c>
      <c r="E241">
        <v>5885</v>
      </c>
      <c r="F241">
        <v>8229</v>
      </c>
      <c r="G241">
        <v>1797</v>
      </c>
      <c r="H241" s="238">
        <v>0.03</v>
      </c>
      <c r="J241" s="228">
        <v>0.04</v>
      </c>
      <c r="L241">
        <v>196</v>
      </c>
      <c r="M241">
        <v>84.2</v>
      </c>
    </row>
    <row r="242" spans="1:13">
      <c r="A242" s="216">
        <v>1717</v>
      </c>
      <c r="C242">
        <v>1025</v>
      </c>
      <c r="D242">
        <v>19844</v>
      </c>
      <c r="E242">
        <v>15716</v>
      </c>
      <c r="F242">
        <v>22466</v>
      </c>
      <c r="G242">
        <v>5426</v>
      </c>
      <c r="H242" s="238">
        <v>0.03</v>
      </c>
      <c r="J242" s="228">
        <v>0.04</v>
      </c>
      <c r="L242">
        <v>196</v>
      </c>
      <c r="M242">
        <v>84.13</v>
      </c>
    </row>
    <row r="243" spans="1:13">
      <c r="A243" s="216">
        <v>2109</v>
      </c>
      <c r="C243">
        <v>214</v>
      </c>
      <c r="D243">
        <v>2381</v>
      </c>
      <c r="E243">
        <v>3863</v>
      </c>
      <c r="F243">
        <v>5050</v>
      </c>
      <c r="G243">
        <v>684</v>
      </c>
      <c r="H243" s="238">
        <v>0.03</v>
      </c>
      <c r="J243" s="228">
        <v>0.04</v>
      </c>
      <c r="L243">
        <v>196</v>
      </c>
      <c r="M243">
        <v>84.07</v>
      </c>
    </row>
    <row r="244" spans="1:13">
      <c r="A244" s="216">
        <v>4737</v>
      </c>
      <c r="C244">
        <v>74</v>
      </c>
      <c r="D244">
        <v>0</v>
      </c>
      <c r="E244">
        <v>2872</v>
      </c>
      <c r="F244">
        <v>1369</v>
      </c>
      <c r="G244">
        <v>720</v>
      </c>
      <c r="H244" s="238">
        <v>0.03</v>
      </c>
      <c r="J244" s="228">
        <v>0.04</v>
      </c>
      <c r="L244">
        <v>196</v>
      </c>
      <c r="M244">
        <v>84</v>
      </c>
    </row>
    <row r="245" spans="1:13">
      <c r="A245" s="216">
        <v>6239</v>
      </c>
      <c r="C245">
        <v>1497</v>
      </c>
      <c r="D245">
        <v>18781</v>
      </c>
      <c r="E245">
        <v>35724</v>
      </c>
      <c r="F245">
        <v>40228</v>
      </c>
      <c r="G245">
        <v>2066</v>
      </c>
      <c r="H245" s="238">
        <v>0.03</v>
      </c>
      <c r="J245" s="228">
        <v>0.04</v>
      </c>
      <c r="L245">
        <v>196</v>
      </c>
      <c r="M245">
        <v>83.94</v>
      </c>
    </row>
    <row r="246" spans="1:13">
      <c r="A246" s="216">
        <v>6271</v>
      </c>
      <c r="C246">
        <v>415</v>
      </c>
      <c r="D246">
        <v>7695</v>
      </c>
      <c r="E246">
        <v>5278</v>
      </c>
      <c r="F246">
        <v>9885</v>
      </c>
      <c r="G246">
        <v>662</v>
      </c>
      <c r="H246" s="238">
        <v>0.03</v>
      </c>
      <c r="J246" s="228">
        <v>0.04</v>
      </c>
      <c r="L246">
        <v>196</v>
      </c>
      <c r="M246">
        <v>83.87</v>
      </c>
    </row>
    <row r="247" spans="1:13">
      <c r="A247" s="216">
        <v>6105</v>
      </c>
      <c r="C247">
        <v>133</v>
      </c>
      <c r="D247">
        <v>2133</v>
      </c>
      <c r="E247">
        <v>1842</v>
      </c>
      <c r="F247">
        <v>3698</v>
      </c>
      <c r="G247">
        <v>11</v>
      </c>
      <c r="H247" s="238">
        <v>0.03</v>
      </c>
      <c r="J247" s="228">
        <v>0.04</v>
      </c>
      <c r="L247">
        <v>196</v>
      </c>
      <c r="M247">
        <v>83.81</v>
      </c>
    </row>
    <row r="248" spans="1:13">
      <c r="A248" s="216">
        <v>8074</v>
      </c>
      <c r="C248">
        <v>43</v>
      </c>
      <c r="D248">
        <v>621</v>
      </c>
      <c r="E248">
        <v>653</v>
      </c>
      <c r="F248">
        <v>1072</v>
      </c>
      <c r="G248">
        <v>116</v>
      </c>
      <c r="H248" s="238">
        <v>0.03</v>
      </c>
      <c r="J248" s="228">
        <v>0.04</v>
      </c>
      <c r="L248">
        <v>196</v>
      </c>
      <c r="M248">
        <v>83.74</v>
      </c>
    </row>
    <row r="249" spans="1:13">
      <c r="A249" s="216">
        <v>5902</v>
      </c>
      <c r="C249">
        <v>7</v>
      </c>
      <c r="D249">
        <v>0</v>
      </c>
      <c r="E249">
        <v>8</v>
      </c>
      <c r="F249">
        <v>643</v>
      </c>
      <c r="G249">
        <v>274</v>
      </c>
      <c r="H249" s="238">
        <v>0.88</v>
      </c>
      <c r="J249" s="228">
        <v>0.01</v>
      </c>
      <c r="L249">
        <v>206</v>
      </c>
      <c r="M249">
        <v>83.67</v>
      </c>
    </row>
    <row r="250" spans="1:13">
      <c r="A250" s="216">
        <v>2347</v>
      </c>
      <c r="C250">
        <v>1529</v>
      </c>
      <c r="D250">
        <v>23778</v>
      </c>
      <c r="E250">
        <v>7088</v>
      </c>
      <c r="F250">
        <v>43289</v>
      </c>
      <c r="G250">
        <v>52292</v>
      </c>
      <c r="H250" s="238">
        <v>0.05</v>
      </c>
      <c r="J250" s="228">
        <v>0.02</v>
      </c>
      <c r="L250">
        <v>207</v>
      </c>
      <c r="M250">
        <v>83.61</v>
      </c>
    </row>
    <row r="251" spans="1:13">
      <c r="A251" s="216">
        <v>2362</v>
      </c>
      <c r="C251">
        <v>888</v>
      </c>
      <c r="D251">
        <v>0</v>
      </c>
      <c r="E251">
        <v>1807</v>
      </c>
      <c r="F251">
        <v>49952</v>
      </c>
      <c r="G251">
        <v>16269</v>
      </c>
      <c r="H251" s="238">
        <v>0.49</v>
      </c>
      <c r="J251" s="228">
        <v>0.01</v>
      </c>
      <c r="L251">
        <v>207</v>
      </c>
      <c r="M251">
        <v>83.54</v>
      </c>
    </row>
    <row r="252" spans="1:13">
      <c r="A252" s="216">
        <v>3033</v>
      </c>
      <c r="C252">
        <v>252</v>
      </c>
      <c r="D252">
        <v>4600</v>
      </c>
      <c r="E252">
        <v>162</v>
      </c>
      <c r="F252">
        <v>4654</v>
      </c>
      <c r="G252">
        <v>6926</v>
      </c>
      <c r="H252" s="238">
        <v>0.05</v>
      </c>
      <c r="J252" s="228">
        <v>0.02</v>
      </c>
      <c r="L252">
        <v>207</v>
      </c>
      <c r="M252">
        <v>83.48</v>
      </c>
    </row>
    <row r="253" spans="1:13">
      <c r="A253" s="216">
        <v>3036</v>
      </c>
      <c r="C253">
        <v>739</v>
      </c>
      <c r="D253">
        <v>15278</v>
      </c>
      <c r="E253">
        <v>619</v>
      </c>
      <c r="F253">
        <v>16533</v>
      </c>
      <c r="G253">
        <v>17380</v>
      </c>
      <c r="H253" s="238">
        <v>0.05</v>
      </c>
      <c r="J253" s="228">
        <v>0.02</v>
      </c>
      <c r="L253">
        <v>207</v>
      </c>
      <c r="M253">
        <v>83.41</v>
      </c>
    </row>
    <row r="254" spans="1:13">
      <c r="A254" s="216">
        <v>3702</v>
      </c>
      <c r="C254">
        <v>2701</v>
      </c>
      <c r="D254">
        <v>44809</v>
      </c>
      <c r="E254">
        <v>4639</v>
      </c>
      <c r="F254">
        <v>47414</v>
      </c>
      <c r="G254">
        <v>62512</v>
      </c>
      <c r="H254" s="238">
        <v>0.05</v>
      </c>
      <c r="J254" s="228">
        <v>0.02</v>
      </c>
      <c r="L254">
        <v>207</v>
      </c>
      <c r="M254">
        <v>83.34</v>
      </c>
    </row>
    <row r="255" spans="1:13">
      <c r="A255" s="216">
        <v>5522</v>
      </c>
      <c r="C255">
        <v>1413</v>
      </c>
      <c r="D255">
        <v>28955</v>
      </c>
      <c r="E255">
        <v>36</v>
      </c>
      <c r="F255">
        <v>41940</v>
      </c>
      <c r="G255">
        <v>32950</v>
      </c>
      <c r="H255" s="238">
        <v>0.05</v>
      </c>
      <c r="J255" s="228">
        <v>0.02</v>
      </c>
      <c r="L255">
        <v>207</v>
      </c>
      <c r="M255">
        <v>83.28</v>
      </c>
    </row>
    <row r="256" spans="1:13">
      <c r="A256" s="216">
        <v>5525</v>
      </c>
      <c r="C256">
        <v>136</v>
      </c>
      <c r="D256">
        <v>2424</v>
      </c>
      <c r="E256">
        <v>83</v>
      </c>
      <c r="F256">
        <v>4465</v>
      </c>
      <c r="G256">
        <v>3637</v>
      </c>
      <c r="H256" s="238">
        <v>0.05</v>
      </c>
      <c r="J256" s="228">
        <v>0.02</v>
      </c>
      <c r="L256">
        <v>207</v>
      </c>
      <c r="M256">
        <v>83.21</v>
      </c>
    </row>
    <row r="257" spans="1:13">
      <c r="A257" s="216">
        <v>5607</v>
      </c>
      <c r="C257">
        <v>77</v>
      </c>
      <c r="D257">
        <v>0</v>
      </c>
      <c r="E257">
        <v>1676</v>
      </c>
      <c r="F257">
        <v>3806</v>
      </c>
      <c r="G257">
        <v>669</v>
      </c>
      <c r="H257" s="238">
        <v>0.05</v>
      </c>
      <c r="J257" s="228">
        <v>0.02</v>
      </c>
      <c r="L257">
        <v>207</v>
      </c>
      <c r="M257">
        <v>83.15</v>
      </c>
    </row>
    <row r="258" spans="1:13">
      <c r="A258" s="216">
        <v>9935</v>
      </c>
      <c r="C258">
        <v>42</v>
      </c>
      <c r="D258">
        <v>0</v>
      </c>
      <c r="E258">
        <v>859</v>
      </c>
      <c r="F258">
        <v>949</v>
      </c>
      <c r="G258">
        <v>1315</v>
      </c>
      <c r="H258" s="238">
        <v>0.05</v>
      </c>
      <c r="J258" s="228">
        <v>0.02</v>
      </c>
      <c r="L258">
        <v>207</v>
      </c>
      <c r="M258">
        <v>83.08</v>
      </c>
    </row>
    <row r="259" spans="1:13">
      <c r="A259" s="216">
        <v>8913</v>
      </c>
      <c r="C259">
        <v>6</v>
      </c>
      <c r="D259">
        <v>16</v>
      </c>
      <c r="E259">
        <v>1</v>
      </c>
      <c r="F259">
        <v>727</v>
      </c>
      <c r="G259">
        <v>176</v>
      </c>
      <c r="H259" s="238">
        <v>0.35</v>
      </c>
      <c r="J259" s="228">
        <v>0.01</v>
      </c>
      <c r="L259">
        <v>208</v>
      </c>
      <c r="M259">
        <v>83.02</v>
      </c>
    </row>
    <row r="260" spans="1:13">
      <c r="A260" s="216">
        <v>1233</v>
      </c>
      <c r="C260">
        <v>39</v>
      </c>
      <c r="D260">
        <v>256</v>
      </c>
      <c r="E260">
        <v>987</v>
      </c>
      <c r="F260">
        <v>1381</v>
      </c>
      <c r="G260">
        <v>104</v>
      </c>
      <c r="H260" s="238">
        <v>0.03</v>
      </c>
      <c r="J260" s="228">
        <v>0.03</v>
      </c>
      <c r="L260">
        <v>232</v>
      </c>
      <c r="M260">
        <v>82.95</v>
      </c>
    </row>
    <row r="261" spans="1:13">
      <c r="A261" s="216">
        <v>1231</v>
      </c>
      <c r="C261">
        <v>102</v>
      </c>
      <c r="D261">
        <v>892</v>
      </c>
      <c r="E261">
        <v>2872</v>
      </c>
      <c r="F261">
        <v>2726</v>
      </c>
      <c r="G261">
        <v>936</v>
      </c>
      <c r="H261" s="238">
        <v>0.03</v>
      </c>
      <c r="J261" s="228">
        <v>0.03</v>
      </c>
      <c r="L261">
        <v>232</v>
      </c>
      <c r="M261">
        <v>82.88</v>
      </c>
    </row>
    <row r="262" spans="1:13">
      <c r="A262" s="216">
        <v>1526</v>
      </c>
      <c r="C262">
        <v>24</v>
      </c>
      <c r="D262">
        <v>399</v>
      </c>
      <c r="E262">
        <v>414</v>
      </c>
      <c r="F262">
        <v>614</v>
      </c>
      <c r="G262">
        <v>212</v>
      </c>
      <c r="H262" s="238">
        <v>0.03</v>
      </c>
      <c r="J262" s="228">
        <v>0.03</v>
      </c>
      <c r="L262">
        <v>232</v>
      </c>
      <c r="M262">
        <v>82.82</v>
      </c>
    </row>
    <row r="263" spans="1:13">
      <c r="A263" s="216">
        <v>1589</v>
      </c>
      <c r="C263">
        <v>341</v>
      </c>
      <c r="D263">
        <v>6334</v>
      </c>
      <c r="E263">
        <v>5039</v>
      </c>
      <c r="F263">
        <v>9503</v>
      </c>
      <c r="G263">
        <v>389</v>
      </c>
      <c r="H263" s="238">
        <v>0.03</v>
      </c>
      <c r="J263" s="228">
        <v>0.03</v>
      </c>
      <c r="L263">
        <v>232</v>
      </c>
      <c r="M263">
        <v>82.75</v>
      </c>
    </row>
    <row r="264" spans="1:13">
      <c r="A264" s="216">
        <v>2115</v>
      </c>
      <c r="C264">
        <v>62</v>
      </c>
      <c r="D264">
        <v>1699</v>
      </c>
      <c r="E264">
        <v>605</v>
      </c>
      <c r="F264">
        <v>2035</v>
      </c>
      <c r="G264">
        <v>181</v>
      </c>
      <c r="H264" s="238">
        <v>0.03</v>
      </c>
      <c r="J264" s="228">
        <v>0.03</v>
      </c>
      <c r="L264">
        <v>232</v>
      </c>
      <c r="M264">
        <v>82.69</v>
      </c>
    </row>
    <row r="265" spans="1:13">
      <c r="A265" s="216">
        <v>2351</v>
      </c>
      <c r="C265">
        <v>200</v>
      </c>
      <c r="D265">
        <v>2243</v>
      </c>
      <c r="E265">
        <v>4603</v>
      </c>
      <c r="F265">
        <v>5031</v>
      </c>
      <c r="G265">
        <v>1668</v>
      </c>
      <c r="H265" s="238">
        <v>0.03</v>
      </c>
      <c r="J265" s="228">
        <v>0.03</v>
      </c>
      <c r="L265">
        <v>232</v>
      </c>
      <c r="M265">
        <v>82.62</v>
      </c>
    </row>
    <row r="266" spans="1:13">
      <c r="A266" s="216">
        <v>2376</v>
      </c>
      <c r="C266">
        <v>643</v>
      </c>
      <c r="D266">
        <v>17430</v>
      </c>
      <c r="E266">
        <v>4074</v>
      </c>
      <c r="F266">
        <v>22502</v>
      </c>
      <c r="G266">
        <v>71</v>
      </c>
      <c r="H266" s="238">
        <v>0.03</v>
      </c>
      <c r="J266" s="228">
        <v>0.03</v>
      </c>
      <c r="L266">
        <v>232</v>
      </c>
      <c r="M266">
        <v>82.55</v>
      </c>
    </row>
    <row r="267" spans="1:13">
      <c r="A267" s="216">
        <v>2444</v>
      </c>
      <c r="C267">
        <v>27</v>
      </c>
      <c r="D267">
        <v>467</v>
      </c>
      <c r="E267">
        <v>452</v>
      </c>
      <c r="F267">
        <v>845</v>
      </c>
      <c r="G267">
        <v>101</v>
      </c>
      <c r="H267" s="238">
        <v>0.03</v>
      </c>
      <c r="J267" s="228">
        <v>0.03</v>
      </c>
      <c r="L267">
        <v>232</v>
      </c>
      <c r="M267">
        <v>82.49</v>
      </c>
    </row>
    <row r="268" spans="1:13">
      <c r="A268" s="216">
        <v>2451</v>
      </c>
      <c r="C268">
        <v>635</v>
      </c>
      <c r="D268">
        <v>16088</v>
      </c>
      <c r="E268">
        <v>3084</v>
      </c>
      <c r="F268">
        <v>19754</v>
      </c>
      <c r="G268">
        <v>411</v>
      </c>
      <c r="H268" s="238">
        <v>0.03</v>
      </c>
      <c r="J268" s="228">
        <v>0.03</v>
      </c>
      <c r="L268">
        <v>232</v>
      </c>
      <c r="M268">
        <v>82.42</v>
      </c>
    </row>
    <row r="269" spans="1:13">
      <c r="A269" s="216">
        <v>2456</v>
      </c>
      <c r="C269">
        <v>162</v>
      </c>
      <c r="D269">
        <v>1617</v>
      </c>
      <c r="E269">
        <v>3813</v>
      </c>
      <c r="F269">
        <v>3779</v>
      </c>
      <c r="G269">
        <v>1131</v>
      </c>
      <c r="H269" s="238">
        <v>0.03</v>
      </c>
      <c r="J269" s="228">
        <v>0.03</v>
      </c>
      <c r="L269">
        <v>232</v>
      </c>
      <c r="M269">
        <v>82.36</v>
      </c>
    </row>
    <row r="270" spans="1:13">
      <c r="A270" s="216">
        <v>2458</v>
      </c>
      <c r="C270">
        <v>197</v>
      </c>
      <c r="D270">
        <v>5117</v>
      </c>
      <c r="E270">
        <v>629</v>
      </c>
      <c r="F270">
        <v>6877</v>
      </c>
      <c r="G270">
        <v>46</v>
      </c>
      <c r="H270" s="238">
        <v>0.03</v>
      </c>
      <c r="J270" s="228">
        <v>0.03</v>
      </c>
      <c r="L270">
        <v>232</v>
      </c>
      <c r="M270">
        <v>82.29</v>
      </c>
    </row>
    <row r="271" spans="1:13">
      <c r="A271" s="216">
        <v>2476</v>
      </c>
      <c r="C271">
        <v>163</v>
      </c>
      <c r="D271">
        <v>3591</v>
      </c>
      <c r="E271">
        <v>1587</v>
      </c>
      <c r="F271">
        <v>5135</v>
      </c>
      <c r="G271">
        <v>230</v>
      </c>
      <c r="H271" s="238">
        <v>0.03</v>
      </c>
      <c r="J271" s="228">
        <v>0.03</v>
      </c>
      <c r="L271">
        <v>232</v>
      </c>
      <c r="M271">
        <v>82.23</v>
      </c>
    </row>
    <row r="272" spans="1:13">
      <c r="A272" s="216">
        <v>2535</v>
      </c>
      <c r="C272">
        <v>180</v>
      </c>
      <c r="D272">
        <v>5943</v>
      </c>
      <c r="E272">
        <v>463</v>
      </c>
      <c r="F272">
        <v>4597</v>
      </c>
      <c r="G272">
        <v>1115</v>
      </c>
      <c r="H272" s="238">
        <v>0.03</v>
      </c>
      <c r="J272" s="228">
        <v>0.03</v>
      </c>
      <c r="L272">
        <v>232</v>
      </c>
      <c r="M272">
        <v>82.16</v>
      </c>
    </row>
    <row r="273" spans="1:13">
      <c r="A273" s="216">
        <v>3003</v>
      </c>
      <c r="C273">
        <v>121</v>
      </c>
      <c r="D273">
        <v>3179</v>
      </c>
      <c r="E273">
        <v>1095</v>
      </c>
      <c r="F273">
        <v>4071</v>
      </c>
      <c r="G273">
        <v>467</v>
      </c>
      <c r="H273" s="238">
        <v>0.03</v>
      </c>
      <c r="J273" s="228">
        <v>0.03</v>
      </c>
      <c r="L273">
        <v>232</v>
      </c>
      <c r="M273">
        <v>82.09</v>
      </c>
    </row>
    <row r="274" spans="1:13">
      <c r="A274" s="216">
        <v>3017</v>
      </c>
      <c r="C274">
        <v>321</v>
      </c>
      <c r="D274">
        <v>4690</v>
      </c>
      <c r="E274">
        <v>5140</v>
      </c>
      <c r="F274">
        <v>8867</v>
      </c>
      <c r="G274">
        <v>2950</v>
      </c>
      <c r="H274" s="238">
        <v>0.03</v>
      </c>
      <c r="J274" s="228">
        <v>0.03</v>
      </c>
      <c r="L274">
        <v>232</v>
      </c>
      <c r="M274">
        <v>82.03</v>
      </c>
    </row>
    <row r="275" spans="1:13">
      <c r="A275" s="216">
        <v>3029</v>
      </c>
      <c r="C275">
        <v>61</v>
      </c>
      <c r="D275">
        <v>1458</v>
      </c>
      <c r="E275">
        <v>309</v>
      </c>
      <c r="F275">
        <v>1868</v>
      </c>
      <c r="G275">
        <v>52</v>
      </c>
      <c r="H275" s="238">
        <v>0.03</v>
      </c>
      <c r="J275" s="228">
        <v>0.03</v>
      </c>
      <c r="L275">
        <v>232</v>
      </c>
      <c r="M275">
        <v>81.96</v>
      </c>
    </row>
    <row r="276" spans="1:13">
      <c r="A276" s="216">
        <v>3189</v>
      </c>
      <c r="C276">
        <v>869</v>
      </c>
      <c r="D276">
        <v>12387</v>
      </c>
      <c r="E276">
        <v>15781</v>
      </c>
      <c r="F276">
        <v>30077</v>
      </c>
      <c r="G276">
        <v>4182</v>
      </c>
      <c r="H276" s="238">
        <v>0.03</v>
      </c>
      <c r="J276" s="228">
        <v>0.03</v>
      </c>
      <c r="L276">
        <v>232</v>
      </c>
      <c r="M276">
        <v>81.900000000000006</v>
      </c>
    </row>
    <row r="277" spans="1:13">
      <c r="A277" s="216">
        <v>3338</v>
      </c>
      <c r="C277">
        <v>36</v>
      </c>
      <c r="D277">
        <v>861</v>
      </c>
      <c r="E277">
        <v>369</v>
      </c>
      <c r="F277">
        <v>1059</v>
      </c>
      <c r="G277">
        <v>43</v>
      </c>
      <c r="H277" s="238">
        <v>0.03</v>
      </c>
      <c r="J277" s="228">
        <v>0.03</v>
      </c>
      <c r="L277">
        <v>232</v>
      </c>
      <c r="M277">
        <v>81.83</v>
      </c>
    </row>
    <row r="278" spans="1:13">
      <c r="A278" s="216">
        <v>3474</v>
      </c>
      <c r="C278">
        <v>3932</v>
      </c>
      <c r="D278">
        <v>32308</v>
      </c>
      <c r="E278">
        <v>97977</v>
      </c>
      <c r="F278">
        <v>134453</v>
      </c>
      <c r="G278">
        <v>5000</v>
      </c>
      <c r="H278" s="238">
        <v>0.03</v>
      </c>
      <c r="J278" s="228">
        <v>0.03</v>
      </c>
      <c r="L278">
        <v>232</v>
      </c>
      <c r="M278">
        <v>81.760000000000005</v>
      </c>
    </row>
    <row r="279" spans="1:13">
      <c r="A279" s="216">
        <v>3607</v>
      </c>
      <c r="C279">
        <v>231</v>
      </c>
      <c r="D279">
        <v>4152</v>
      </c>
      <c r="E279">
        <v>4436</v>
      </c>
      <c r="F279">
        <v>7763</v>
      </c>
      <c r="G279">
        <v>189</v>
      </c>
      <c r="H279" s="238">
        <v>0.03</v>
      </c>
      <c r="J279" s="228">
        <v>0.03</v>
      </c>
      <c r="L279">
        <v>232</v>
      </c>
      <c r="M279">
        <v>81.7</v>
      </c>
    </row>
    <row r="280" spans="1:13">
      <c r="A280" s="216">
        <v>3645</v>
      </c>
      <c r="C280">
        <v>74</v>
      </c>
      <c r="D280">
        <v>572</v>
      </c>
      <c r="E280">
        <v>2220</v>
      </c>
      <c r="F280">
        <v>2006</v>
      </c>
      <c r="G280">
        <v>395</v>
      </c>
      <c r="H280" s="238">
        <v>0.03</v>
      </c>
      <c r="J280" s="228">
        <v>0.03</v>
      </c>
      <c r="L280">
        <v>232</v>
      </c>
      <c r="M280">
        <v>81.63</v>
      </c>
    </row>
    <row r="281" spans="1:13">
      <c r="A281" s="216">
        <v>5215</v>
      </c>
      <c r="C281">
        <v>57</v>
      </c>
      <c r="D281">
        <v>1495</v>
      </c>
      <c r="E281">
        <v>634</v>
      </c>
      <c r="F281">
        <v>2076</v>
      </c>
      <c r="G281">
        <v>132</v>
      </c>
      <c r="H281" s="238">
        <v>0.03</v>
      </c>
      <c r="J281" s="228">
        <v>0.03</v>
      </c>
      <c r="L281">
        <v>232</v>
      </c>
      <c r="M281">
        <v>81.569999999999993</v>
      </c>
    </row>
    <row r="282" spans="1:13">
      <c r="A282" s="216">
        <v>5285</v>
      </c>
      <c r="C282">
        <v>63</v>
      </c>
      <c r="D282">
        <v>1499</v>
      </c>
      <c r="E282">
        <v>779</v>
      </c>
      <c r="F282">
        <v>1615</v>
      </c>
      <c r="G282">
        <v>241</v>
      </c>
      <c r="H282" s="238">
        <v>0.03</v>
      </c>
      <c r="J282" s="228">
        <v>0.03</v>
      </c>
      <c r="L282">
        <v>232</v>
      </c>
      <c r="M282">
        <v>81.5</v>
      </c>
    </row>
    <row r="283" spans="1:13">
      <c r="A283" s="216">
        <v>6278</v>
      </c>
      <c r="C283">
        <v>409</v>
      </c>
      <c r="D283">
        <v>5640</v>
      </c>
      <c r="E283">
        <v>7502</v>
      </c>
      <c r="F283">
        <v>11943</v>
      </c>
      <c r="G283">
        <v>3103</v>
      </c>
      <c r="H283" s="238">
        <v>0.03</v>
      </c>
      <c r="J283" s="228">
        <v>0.03</v>
      </c>
      <c r="L283">
        <v>232</v>
      </c>
      <c r="M283">
        <v>81.44</v>
      </c>
    </row>
    <row r="284" spans="1:13">
      <c r="A284" s="216">
        <v>8021</v>
      </c>
      <c r="C284">
        <v>170</v>
      </c>
      <c r="D284">
        <v>2296</v>
      </c>
      <c r="E284">
        <v>3116</v>
      </c>
      <c r="F284">
        <v>4871</v>
      </c>
      <c r="G284">
        <v>249</v>
      </c>
      <c r="H284" s="238">
        <v>0.03</v>
      </c>
      <c r="J284" s="228">
        <v>0.03</v>
      </c>
      <c r="L284">
        <v>232</v>
      </c>
      <c r="M284">
        <v>81.37</v>
      </c>
    </row>
    <row r="285" spans="1:13">
      <c r="A285" s="216">
        <v>8271</v>
      </c>
      <c r="C285">
        <v>89</v>
      </c>
      <c r="D285">
        <v>2064</v>
      </c>
      <c r="E285">
        <v>717</v>
      </c>
      <c r="F285">
        <v>2837</v>
      </c>
      <c r="G285">
        <v>296</v>
      </c>
      <c r="H285" s="238">
        <v>0.03</v>
      </c>
      <c r="J285" s="228">
        <v>0.03</v>
      </c>
      <c r="L285">
        <v>232</v>
      </c>
      <c r="M285">
        <v>81.3</v>
      </c>
    </row>
    <row r="286" spans="1:13">
      <c r="A286" s="216">
        <v>3171</v>
      </c>
      <c r="C286">
        <v>24</v>
      </c>
      <c r="D286">
        <v>372</v>
      </c>
      <c r="E286">
        <v>402</v>
      </c>
      <c r="F286">
        <v>610</v>
      </c>
      <c r="G286">
        <v>180</v>
      </c>
      <c r="H286" s="238">
        <v>0.03</v>
      </c>
      <c r="J286" s="228">
        <v>0.03</v>
      </c>
      <c r="L286">
        <v>232</v>
      </c>
      <c r="M286">
        <v>81.239999999999995</v>
      </c>
    </row>
    <row r="287" spans="1:13">
      <c r="A287" s="216">
        <v>3303</v>
      </c>
      <c r="C287">
        <v>62</v>
      </c>
      <c r="D287">
        <v>644</v>
      </c>
      <c r="E287">
        <v>1375</v>
      </c>
      <c r="F287">
        <v>1754</v>
      </c>
      <c r="G287">
        <v>432</v>
      </c>
      <c r="H287" s="238">
        <v>0.03</v>
      </c>
      <c r="J287" s="228">
        <v>0.03</v>
      </c>
      <c r="L287">
        <v>232</v>
      </c>
      <c r="M287">
        <v>81.17</v>
      </c>
    </row>
    <row r="288" spans="1:13">
      <c r="A288" s="216">
        <v>3388</v>
      </c>
      <c r="C288">
        <v>102</v>
      </c>
      <c r="D288">
        <v>2869</v>
      </c>
      <c r="E288">
        <v>89</v>
      </c>
      <c r="F288">
        <v>3103</v>
      </c>
      <c r="G288">
        <v>85</v>
      </c>
      <c r="H288" s="238">
        <v>0.03</v>
      </c>
      <c r="J288" s="228">
        <v>0.03</v>
      </c>
      <c r="L288">
        <v>232</v>
      </c>
      <c r="M288">
        <v>81.11</v>
      </c>
    </row>
    <row r="289" spans="1:13">
      <c r="A289" s="216">
        <v>3548</v>
      </c>
      <c r="C289">
        <v>75</v>
      </c>
      <c r="D289">
        <v>1006</v>
      </c>
      <c r="E289">
        <v>1511</v>
      </c>
      <c r="F289">
        <v>2620</v>
      </c>
      <c r="G289">
        <v>89</v>
      </c>
      <c r="H289" s="238">
        <v>0.03</v>
      </c>
      <c r="J289" s="228">
        <v>0.03</v>
      </c>
      <c r="L289">
        <v>232</v>
      </c>
      <c r="M289">
        <v>81.040000000000006</v>
      </c>
    </row>
    <row r="290" spans="1:13">
      <c r="A290" s="216">
        <v>3567</v>
      </c>
      <c r="C290">
        <v>14</v>
      </c>
      <c r="D290">
        <v>178</v>
      </c>
      <c r="E290">
        <v>248</v>
      </c>
      <c r="F290">
        <v>470</v>
      </c>
      <c r="G290">
        <v>2</v>
      </c>
      <c r="H290" s="238">
        <v>0.03</v>
      </c>
      <c r="J290" s="228">
        <v>0.03</v>
      </c>
      <c r="L290">
        <v>232</v>
      </c>
      <c r="M290">
        <v>80.97</v>
      </c>
    </row>
    <row r="291" spans="1:13">
      <c r="A291" s="216">
        <v>3577</v>
      </c>
      <c r="C291">
        <v>23</v>
      </c>
      <c r="D291">
        <v>291</v>
      </c>
      <c r="E291">
        <v>556</v>
      </c>
      <c r="F291">
        <v>820</v>
      </c>
      <c r="G291">
        <v>36</v>
      </c>
      <c r="H291" s="238">
        <v>0.03</v>
      </c>
      <c r="J291" s="228">
        <v>0.03</v>
      </c>
      <c r="L291">
        <v>232</v>
      </c>
      <c r="M291">
        <v>80.91</v>
      </c>
    </row>
    <row r="292" spans="1:13">
      <c r="A292" s="216">
        <v>3675</v>
      </c>
      <c r="C292">
        <v>25</v>
      </c>
      <c r="D292">
        <v>468</v>
      </c>
      <c r="E292">
        <v>425</v>
      </c>
      <c r="F292">
        <v>934</v>
      </c>
      <c r="G292">
        <v>9</v>
      </c>
      <c r="H292" s="238">
        <v>0.03</v>
      </c>
      <c r="J292" s="228">
        <v>0.03</v>
      </c>
      <c r="L292">
        <v>232</v>
      </c>
      <c r="M292">
        <v>80.84</v>
      </c>
    </row>
    <row r="293" spans="1:13">
      <c r="A293" s="216">
        <v>4706</v>
      </c>
      <c r="C293">
        <v>42</v>
      </c>
      <c r="D293">
        <v>1081</v>
      </c>
      <c r="E293">
        <v>272</v>
      </c>
      <c r="F293">
        <v>1321</v>
      </c>
      <c r="G293">
        <v>160</v>
      </c>
      <c r="H293" s="238">
        <v>0.03</v>
      </c>
      <c r="J293" s="228">
        <v>0.03</v>
      </c>
      <c r="L293">
        <v>232</v>
      </c>
      <c r="M293">
        <v>80.78</v>
      </c>
    </row>
    <row r="294" spans="1:13">
      <c r="A294" s="216">
        <v>5536</v>
      </c>
      <c r="C294">
        <v>94</v>
      </c>
      <c r="D294">
        <v>2484</v>
      </c>
      <c r="E294">
        <v>331</v>
      </c>
      <c r="F294">
        <v>2931</v>
      </c>
      <c r="G294">
        <v>71</v>
      </c>
      <c r="H294" s="238">
        <v>0.03</v>
      </c>
      <c r="J294" s="228">
        <v>0.03</v>
      </c>
      <c r="L294">
        <v>232</v>
      </c>
      <c r="M294">
        <v>80.709999999999994</v>
      </c>
    </row>
    <row r="295" spans="1:13">
      <c r="A295" s="216">
        <v>6411</v>
      </c>
      <c r="C295">
        <v>40</v>
      </c>
      <c r="D295">
        <v>850</v>
      </c>
      <c r="E295">
        <v>371</v>
      </c>
      <c r="F295">
        <v>1256</v>
      </c>
      <c r="G295">
        <v>100</v>
      </c>
      <c r="H295" s="238">
        <v>0.03</v>
      </c>
      <c r="J295" s="228">
        <v>0.03</v>
      </c>
      <c r="L295">
        <v>232</v>
      </c>
      <c r="M295">
        <v>80.650000000000006</v>
      </c>
    </row>
    <row r="296" spans="1:13">
      <c r="A296" s="216">
        <v>8079</v>
      </c>
      <c r="C296">
        <v>36</v>
      </c>
      <c r="D296">
        <v>831</v>
      </c>
      <c r="E296">
        <v>356</v>
      </c>
      <c r="F296">
        <v>1181</v>
      </c>
      <c r="G296">
        <v>1</v>
      </c>
      <c r="H296" s="238">
        <v>0.03</v>
      </c>
      <c r="J296" s="228">
        <v>0.03</v>
      </c>
      <c r="L296">
        <v>232</v>
      </c>
      <c r="M296">
        <v>80.58</v>
      </c>
    </row>
    <row r="297" spans="1:13">
      <c r="A297" s="216">
        <v>1210</v>
      </c>
      <c r="C297">
        <v>608</v>
      </c>
      <c r="D297">
        <v>4193</v>
      </c>
      <c r="E297">
        <v>12819</v>
      </c>
      <c r="F297">
        <v>19759</v>
      </c>
      <c r="G297">
        <v>7700</v>
      </c>
      <c r="H297" s="238">
        <v>0.04</v>
      </c>
      <c r="J297" s="228">
        <v>0.02</v>
      </c>
      <c r="L297">
        <v>236</v>
      </c>
      <c r="M297">
        <v>80.510000000000005</v>
      </c>
    </row>
    <row r="298" spans="1:13">
      <c r="A298" s="216">
        <v>2301</v>
      </c>
      <c r="C298">
        <v>2577</v>
      </c>
      <c r="D298">
        <v>36596</v>
      </c>
      <c r="E298">
        <v>35674</v>
      </c>
      <c r="F298">
        <v>78688</v>
      </c>
      <c r="G298">
        <v>26903</v>
      </c>
      <c r="H298" s="238">
        <v>0.04</v>
      </c>
      <c r="J298" s="228">
        <v>0.02</v>
      </c>
      <c r="L298">
        <v>236</v>
      </c>
      <c r="M298">
        <v>80.45</v>
      </c>
    </row>
    <row r="299" spans="1:13">
      <c r="A299" s="216">
        <v>2327</v>
      </c>
      <c r="C299">
        <v>907</v>
      </c>
      <c r="D299">
        <v>5949</v>
      </c>
      <c r="E299">
        <v>14695</v>
      </c>
      <c r="F299">
        <v>25353</v>
      </c>
      <c r="G299">
        <v>12121</v>
      </c>
      <c r="H299" s="238">
        <v>0.04</v>
      </c>
      <c r="J299" s="228">
        <v>0.02</v>
      </c>
      <c r="L299">
        <v>236</v>
      </c>
      <c r="M299">
        <v>80.38</v>
      </c>
    </row>
    <row r="300" spans="1:13">
      <c r="A300" s="216">
        <v>2382</v>
      </c>
      <c r="C300">
        <v>5007</v>
      </c>
      <c r="D300">
        <v>90409</v>
      </c>
      <c r="E300">
        <v>50732</v>
      </c>
      <c r="F300">
        <v>135508</v>
      </c>
      <c r="G300">
        <v>153508</v>
      </c>
      <c r="H300" s="238">
        <v>0.04</v>
      </c>
      <c r="J300" s="228">
        <v>0.02</v>
      </c>
      <c r="L300">
        <v>236</v>
      </c>
      <c r="M300">
        <v>80.319999999999993</v>
      </c>
    </row>
    <row r="301" spans="1:13">
      <c r="A301" s="216">
        <v>2415</v>
      </c>
      <c r="C301">
        <v>60</v>
      </c>
      <c r="D301">
        <v>530</v>
      </c>
      <c r="E301">
        <v>825</v>
      </c>
      <c r="F301">
        <v>1756</v>
      </c>
      <c r="G301">
        <v>1109</v>
      </c>
      <c r="H301" s="238">
        <v>0.04</v>
      </c>
      <c r="J301" s="228">
        <v>0.02</v>
      </c>
      <c r="L301">
        <v>236</v>
      </c>
      <c r="M301">
        <v>80.25</v>
      </c>
    </row>
    <row r="302" spans="1:13">
      <c r="A302" s="216">
        <v>2433</v>
      </c>
      <c r="C302">
        <v>127</v>
      </c>
      <c r="D302">
        <v>424</v>
      </c>
      <c r="E302">
        <v>2899</v>
      </c>
      <c r="F302">
        <v>3985</v>
      </c>
      <c r="G302">
        <v>2228</v>
      </c>
      <c r="H302" s="238">
        <v>0.04</v>
      </c>
      <c r="J302" s="228">
        <v>0.02</v>
      </c>
      <c r="L302">
        <v>236</v>
      </c>
      <c r="M302">
        <v>80.180000000000007</v>
      </c>
    </row>
    <row r="303" spans="1:13">
      <c r="A303" s="216">
        <v>2472</v>
      </c>
      <c r="C303">
        <v>158</v>
      </c>
      <c r="D303">
        <v>1690</v>
      </c>
      <c r="E303">
        <v>2704</v>
      </c>
      <c r="F303">
        <v>4866</v>
      </c>
      <c r="G303">
        <v>2000</v>
      </c>
      <c r="H303" s="238">
        <v>0.04</v>
      </c>
      <c r="J303" s="228">
        <v>0.02</v>
      </c>
      <c r="L303">
        <v>236</v>
      </c>
      <c r="M303">
        <v>80.12</v>
      </c>
    </row>
    <row r="304" spans="1:13">
      <c r="A304" s="216">
        <v>2536</v>
      </c>
      <c r="C304">
        <v>364</v>
      </c>
      <c r="D304">
        <v>9500</v>
      </c>
      <c r="E304">
        <v>3</v>
      </c>
      <c r="F304">
        <v>11192</v>
      </c>
      <c r="G304">
        <v>5686</v>
      </c>
      <c r="H304" s="238">
        <v>0.04</v>
      </c>
      <c r="J304" s="228">
        <v>0.02</v>
      </c>
      <c r="L304">
        <v>236</v>
      </c>
      <c r="M304">
        <v>80.05</v>
      </c>
    </row>
    <row r="305" spans="1:13">
      <c r="A305" s="216">
        <v>3044</v>
      </c>
      <c r="C305">
        <v>1033</v>
      </c>
      <c r="D305">
        <v>11819</v>
      </c>
      <c r="E305">
        <v>14873</v>
      </c>
      <c r="F305">
        <v>29482</v>
      </c>
      <c r="G305">
        <v>16389</v>
      </c>
      <c r="H305" s="238">
        <v>0.04</v>
      </c>
      <c r="J305" s="228">
        <v>0.02</v>
      </c>
      <c r="L305">
        <v>236</v>
      </c>
      <c r="M305">
        <v>79.989999999999995</v>
      </c>
    </row>
    <row r="306" spans="1:13">
      <c r="A306" s="216">
        <v>6112</v>
      </c>
      <c r="C306">
        <v>54</v>
      </c>
      <c r="D306">
        <v>1138</v>
      </c>
      <c r="E306">
        <v>378</v>
      </c>
      <c r="F306">
        <v>1896</v>
      </c>
      <c r="G306">
        <v>1301</v>
      </c>
      <c r="H306" s="238">
        <v>0.04</v>
      </c>
      <c r="J306" s="228">
        <v>0.02</v>
      </c>
      <c r="L306">
        <v>236</v>
      </c>
      <c r="M306">
        <v>79.92</v>
      </c>
    </row>
    <row r="307" spans="1:13">
      <c r="A307" s="216">
        <v>9925</v>
      </c>
      <c r="C307">
        <v>282</v>
      </c>
      <c r="D307">
        <v>3453</v>
      </c>
      <c r="E307">
        <v>3418</v>
      </c>
      <c r="F307">
        <v>9476</v>
      </c>
      <c r="G307">
        <v>2423</v>
      </c>
      <c r="H307" s="238">
        <v>0.04</v>
      </c>
      <c r="J307" s="228">
        <v>0.02</v>
      </c>
      <c r="L307">
        <v>236</v>
      </c>
      <c r="M307">
        <v>79.86</v>
      </c>
    </row>
    <row r="308" spans="1:13">
      <c r="A308" s="216">
        <v>9933</v>
      </c>
      <c r="C308">
        <v>500</v>
      </c>
      <c r="D308">
        <v>6576</v>
      </c>
      <c r="E308">
        <v>6955</v>
      </c>
      <c r="F308">
        <v>19232</v>
      </c>
      <c r="G308">
        <v>3295</v>
      </c>
      <c r="H308" s="238">
        <v>0.04</v>
      </c>
      <c r="J308" s="228">
        <v>0.02</v>
      </c>
      <c r="L308">
        <v>236</v>
      </c>
      <c r="M308">
        <v>79.790000000000006</v>
      </c>
    </row>
    <row r="309" spans="1:13">
      <c r="A309" s="216">
        <v>3068</v>
      </c>
      <c r="C309">
        <v>57</v>
      </c>
      <c r="D309">
        <v>180</v>
      </c>
      <c r="E309">
        <v>1294</v>
      </c>
      <c r="F309">
        <v>1406</v>
      </c>
      <c r="G309">
        <v>1640</v>
      </c>
      <c r="H309" s="238">
        <v>0.04</v>
      </c>
      <c r="J309" s="228">
        <v>0.02</v>
      </c>
      <c r="L309">
        <v>236</v>
      </c>
      <c r="M309">
        <v>79.72</v>
      </c>
    </row>
    <row r="310" spans="1:13">
      <c r="A310" s="216">
        <v>4721</v>
      </c>
      <c r="C310">
        <v>36</v>
      </c>
      <c r="D310">
        <v>454</v>
      </c>
      <c r="E310">
        <v>453</v>
      </c>
      <c r="F310">
        <v>1081</v>
      </c>
      <c r="G310">
        <v>387</v>
      </c>
      <c r="H310" s="238">
        <v>0.04</v>
      </c>
      <c r="J310" s="228">
        <v>0.02</v>
      </c>
      <c r="L310">
        <v>236</v>
      </c>
      <c r="M310">
        <v>79.66</v>
      </c>
    </row>
    <row r="311" spans="1:13">
      <c r="A311" s="216">
        <v>5349</v>
      </c>
      <c r="C311">
        <v>106</v>
      </c>
      <c r="D311">
        <v>734</v>
      </c>
      <c r="E311">
        <v>2226</v>
      </c>
      <c r="F311">
        <v>3590</v>
      </c>
      <c r="G311">
        <v>850</v>
      </c>
      <c r="H311" s="238">
        <v>0.04</v>
      </c>
      <c r="J311" s="228">
        <v>0.02</v>
      </c>
      <c r="L311">
        <v>236</v>
      </c>
      <c r="M311">
        <v>79.59</v>
      </c>
    </row>
    <row r="312" spans="1:13">
      <c r="A312" s="216">
        <v>6147</v>
      </c>
      <c r="C312">
        <v>751</v>
      </c>
      <c r="D312">
        <v>4727</v>
      </c>
      <c r="E312">
        <v>15083</v>
      </c>
      <c r="F312">
        <v>23991</v>
      </c>
      <c r="G312">
        <v>8126</v>
      </c>
      <c r="H312" s="238">
        <v>0.04</v>
      </c>
      <c r="J312" s="228">
        <v>0.02</v>
      </c>
      <c r="L312">
        <v>236</v>
      </c>
      <c r="M312">
        <v>79.53</v>
      </c>
    </row>
    <row r="313" spans="1:13">
      <c r="A313" s="216">
        <v>8936</v>
      </c>
      <c r="C313">
        <v>162</v>
      </c>
      <c r="D313">
        <v>3032</v>
      </c>
      <c r="E313">
        <v>1191</v>
      </c>
      <c r="F313">
        <v>4866</v>
      </c>
      <c r="G313">
        <v>2945</v>
      </c>
      <c r="H313" s="238">
        <v>0.04</v>
      </c>
      <c r="J313" s="228">
        <v>0.02</v>
      </c>
      <c r="L313">
        <v>236</v>
      </c>
      <c r="M313">
        <v>79.459999999999994</v>
      </c>
    </row>
    <row r="314" spans="1:13">
      <c r="A314" s="216">
        <v>1527</v>
      </c>
      <c r="C314">
        <v>190</v>
      </c>
      <c r="D314">
        <v>2522</v>
      </c>
      <c r="E314">
        <v>925</v>
      </c>
      <c r="F314">
        <v>3423</v>
      </c>
      <c r="G314">
        <v>9464</v>
      </c>
      <c r="H314" s="238">
        <v>0.06</v>
      </c>
      <c r="J314" s="228">
        <v>0.01</v>
      </c>
      <c r="L314">
        <v>250</v>
      </c>
      <c r="M314">
        <v>79.39</v>
      </c>
    </row>
    <row r="315" spans="1:13">
      <c r="A315" s="216">
        <v>6172</v>
      </c>
      <c r="C315">
        <v>2</v>
      </c>
      <c r="D315">
        <v>12</v>
      </c>
      <c r="E315">
        <v>29</v>
      </c>
      <c r="F315">
        <v>283</v>
      </c>
      <c r="G315">
        <v>72</v>
      </c>
      <c r="H315" s="238">
        <v>0.05</v>
      </c>
      <c r="J315" s="228">
        <v>0.01</v>
      </c>
      <c r="L315">
        <v>270</v>
      </c>
      <c r="M315">
        <v>79.33</v>
      </c>
    </row>
    <row r="316" spans="1:13">
      <c r="A316" s="216">
        <v>1906</v>
      </c>
      <c r="C316">
        <v>6</v>
      </c>
      <c r="D316">
        <v>0</v>
      </c>
      <c r="E316">
        <v>39</v>
      </c>
      <c r="F316">
        <v>2288</v>
      </c>
      <c r="G316">
        <v>950</v>
      </c>
      <c r="H316" s="238">
        <v>0.15</v>
      </c>
      <c r="J316" s="228">
        <v>0</v>
      </c>
      <c r="L316">
        <v>276</v>
      </c>
      <c r="M316">
        <v>79.260000000000005</v>
      </c>
    </row>
    <row r="317" spans="1:13">
      <c r="A317" s="216">
        <v>2449</v>
      </c>
      <c r="C317">
        <v>715</v>
      </c>
      <c r="D317">
        <v>5804</v>
      </c>
      <c r="E317">
        <v>25442</v>
      </c>
      <c r="F317">
        <v>22045</v>
      </c>
      <c r="G317">
        <v>2451</v>
      </c>
      <c r="H317" s="238">
        <v>0.02</v>
      </c>
      <c r="J317" s="228">
        <v>0.03</v>
      </c>
      <c r="L317">
        <v>276</v>
      </c>
      <c r="M317">
        <v>79.2</v>
      </c>
    </row>
    <row r="318" spans="1:13">
      <c r="A318" s="216">
        <v>2605</v>
      </c>
      <c r="C318">
        <v>583</v>
      </c>
      <c r="D318">
        <v>3812</v>
      </c>
      <c r="E318">
        <v>21625</v>
      </c>
      <c r="F318">
        <v>19511</v>
      </c>
      <c r="G318">
        <v>2820</v>
      </c>
      <c r="H318" s="238">
        <v>0.02</v>
      </c>
      <c r="J318" s="228">
        <v>0.03</v>
      </c>
      <c r="L318">
        <v>276</v>
      </c>
      <c r="M318">
        <v>79.13</v>
      </c>
    </row>
    <row r="319" spans="1:13">
      <c r="A319" s="216">
        <v>2610</v>
      </c>
      <c r="C319">
        <v>2732</v>
      </c>
      <c r="D319">
        <v>0</v>
      </c>
      <c r="E319">
        <v>132189</v>
      </c>
      <c r="F319">
        <v>60540</v>
      </c>
      <c r="G319">
        <v>32100</v>
      </c>
      <c r="H319" s="238">
        <v>0.02</v>
      </c>
      <c r="J319" s="228">
        <v>0.03</v>
      </c>
      <c r="L319">
        <v>276</v>
      </c>
      <c r="M319">
        <v>79.069999999999993</v>
      </c>
    </row>
    <row r="320" spans="1:13">
      <c r="A320" s="216">
        <v>8450</v>
      </c>
      <c r="C320">
        <v>44</v>
      </c>
      <c r="D320">
        <v>1772</v>
      </c>
      <c r="E320">
        <v>286</v>
      </c>
      <c r="F320">
        <v>1501</v>
      </c>
      <c r="G320">
        <v>10</v>
      </c>
      <c r="H320" s="238">
        <v>0.02</v>
      </c>
      <c r="J320" s="228">
        <v>0.03</v>
      </c>
      <c r="L320">
        <v>276</v>
      </c>
      <c r="M320">
        <v>79</v>
      </c>
    </row>
    <row r="321" spans="1:13">
      <c r="A321" s="216">
        <v>1312</v>
      </c>
      <c r="C321">
        <v>369</v>
      </c>
      <c r="D321">
        <v>3983</v>
      </c>
      <c r="E321">
        <v>8329</v>
      </c>
      <c r="F321">
        <v>19005</v>
      </c>
      <c r="G321">
        <v>613</v>
      </c>
      <c r="H321" s="238">
        <v>0.03</v>
      </c>
      <c r="J321" s="228">
        <v>0.02</v>
      </c>
      <c r="L321">
        <v>280</v>
      </c>
      <c r="M321">
        <v>78.930000000000007</v>
      </c>
    </row>
    <row r="322" spans="1:13">
      <c r="A322" s="216">
        <v>1220</v>
      </c>
      <c r="C322">
        <v>58</v>
      </c>
      <c r="D322">
        <v>1376</v>
      </c>
      <c r="E322">
        <v>901</v>
      </c>
      <c r="F322">
        <v>2280</v>
      </c>
      <c r="G322">
        <v>239</v>
      </c>
      <c r="H322" s="238">
        <v>0.03</v>
      </c>
      <c r="J322" s="228">
        <v>0.02</v>
      </c>
      <c r="L322">
        <v>280</v>
      </c>
      <c r="M322">
        <v>78.87</v>
      </c>
    </row>
    <row r="323" spans="1:13">
      <c r="A323" s="216">
        <v>1225</v>
      </c>
      <c r="C323">
        <v>95</v>
      </c>
      <c r="D323">
        <v>1480</v>
      </c>
      <c r="E323">
        <v>2226</v>
      </c>
      <c r="F323">
        <v>2993</v>
      </c>
      <c r="G323">
        <v>1229</v>
      </c>
      <c r="H323" s="238">
        <v>0.03</v>
      </c>
      <c r="J323" s="228">
        <v>0.02</v>
      </c>
      <c r="L323">
        <v>280</v>
      </c>
      <c r="M323">
        <v>78.8</v>
      </c>
    </row>
    <row r="324" spans="1:13">
      <c r="A324" s="216">
        <v>1504</v>
      </c>
      <c r="C324">
        <v>1018</v>
      </c>
      <c r="D324">
        <v>25154</v>
      </c>
      <c r="E324">
        <v>14571</v>
      </c>
      <c r="F324">
        <v>50235</v>
      </c>
      <c r="G324">
        <v>3915</v>
      </c>
      <c r="H324" s="238">
        <v>0.03</v>
      </c>
      <c r="J324" s="228">
        <v>0.02</v>
      </c>
      <c r="L324">
        <v>280</v>
      </c>
      <c r="M324">
        <v>78.739999999999995</v>
      </c>
    </row>
    <row r="325" spans="1:13">
      <c r="A325" s="216">
        <v>1568</v>
      </c>
      <c r="C325">
        <v>48</v>
      </c>
      <c r="D325">
        <v>476</v>
      </c>
      <c r="E325">
        <v>1361</v>
      </c>
      <c r="F325">
        <v>1597</v>
      </c>
      <c r="G325">
        <v>356</v>
      </c>
      <c r="H325" s="238">
        <v>0.03</v>
      </c>
      <c r="J325" s="228">
        <v>0.02</v>
      </c>
      <c r="L325">
        <v>280</v>
      </c>
      <c r="M325">
        <v>78.67</v>
      </c>
    </row>
    <row r="326" spans="1:13">
      <c r="A326" s="216">
        <v>1720</v>
      </c>
      <c r="C326">
        <v>93</v>
      </c>
      <c r="D326">
        <v>1329</v>
      </c>
      <c r="E326">
        <v>1913</v>
      </c>
      <c r="F326">
        <v>3742</v>
      </c>
      <c r="G326">
        <v>375</v>
      </c>
      <c r="H326" s="238">
        <v>0.03</v>
      </c>
      <c r="J326" s="228">
        <v>0.02</v>
      </c>
      <c r="L326">
        <v>280</v>
      </c>
      <c r="M326">
        <v>78.599999999999994</v>
      </c>
    </row>
    <row r="327" spans="1:13">
      <c r="A327" s="216">
        <v>1724</v>
      </c>
      <c r="C327">
        <v>39</v>
      </c>
      <c r="D327">
        <v>279</v>
      </c>
      <c r="E327">
        <v>1192</v>
      </c>
      <c r="F327">
        <v>1856</v>
      </c>
      <c r="G327">
        <v>200</v>
      </c>
      <c r="H327" s="238">
        <v>0.03</v>
      </c>
      <c r="J327" s="228">
        <v>0.02</v>
      </c>
      <c r="L327">
        <v>280</v>
      </c>
      <c r="M327">
        <v>78.540000000000006</v>
      </c>
    </row>
    <row r="328" spans="1:13">
      <c r="A328" s="216">
        <v>1789</v>
      </c>
      <c r="C328">
        <v>221</v>
      </c>
      <c r="D328">
        <v>3331</v>
      </c>
      <c r="E328">
        <v>5143</v>
      </c>
      <c r="F328">
        <v>9701</v>
      </c>
      <c r="G328">
        <v>1679</v>
      </c>
      <c r="H328" s="238">
        <v>0.03</v>
      </c>
      <c r="J328" s="228">
        <v>0.02</v>
      </c>
      <c r="L328">
        <v>280</v>
      </c>
      <c r="M328">
        <v>78.47</v>
      </c>
    </row>
    <row r="329" spans="1:13">
      <c r="A329" s="216">
        <v>2015</v>
      </c>
      <c r="C329">
        <v>364</v>
      </c>
      <c r="D329">
        <v>5869</v>
      </c>
      <c r="E329">
        <v>7849</v>
      </c>
      <c r="F329">
        <v>15686</v>
      </c>
      <c r="G329">
        <v>184</v>
      </c>
      <c r="H329" s="238">
        <v>0.03</v>
      </c>
      <c r="J329" s="228">
        <v>0.02</v>
      </c>
      <c r="L329">
        <v>280</v>
      </c>
      <c r="M329">
        <v>78.41</v>
      </c>
    </row>
    <row r="330" spans="1:13">
      <c r="A330" s="216">
        <v>2103</v>
      </c>
      <c r="C330">
        <v>432</v>
      </c>
      <c r="D330">
        <v>4335</v>
      </c>
      <c r="E330">
        <v>10165</v>
      </c>
      <c r="F330">
        <v>18261</v>
      </c>
      <c r="G330">
        <v>6291</v>
      </c>
      <c r="H330" s="238">
        <v>0.03</v>
      </c>
      <c r="J330" s="228">
        <v>0.02</v>
      </c>
      <c r="L330">
        <v>280</v>
      </c>
      <c r="M330">
        <v>78.34</v>
      </c>
    </row>
    <row r="331" spans="1:13">
      <c r="A331" s="216">
        <v>2324</v>
      </c>
      <c r="C331">
        <v>2749</v>
      </c>
      <c r="D331">
        <v>69867</v>
      </c>
      <c r="E331">
        <v>24530</v>
      </c>
      <c r="F331">
        <v>107247</v>
      </c>
      <c r="G331">
        <v>48769</v>
      </c>
      <c r="H331" s="238">
        <v>0.03</v>
      </c>
      <c r="J331" s="228">
        <v>0.02</v>
      </c>
      <c r="L331">
        <v>280</v>
      </c>
      <c r="M331">
        <v>78.28</v>
      </c>
    </row>
    <row r="332" spans="1:13">
      <c r="A332" s="216">
        <v>2328</v>
      </c>
      <c r="C332">
        <v>241</v>
      </c>
      <c r="D332">
        <v>5605</v>
      </c>
      <c r="E332">
        <v>2882</v>
      </c>
      <c r="F332">
        <v>11075</v>
      </c>
      <c r="G332">
        <v>974</v>
      </c>
      <c r="H332" s="238">
        <v>0.03</v>
      </c>
      <c r="J332" s="228">
        <v>0.02</v>
      </c>
      <c r="L332">
        <v>280</v>
      </c>
      <c r="M332">
        <v>78.209999999999994</v>
      </c>
    </row>
    <row r="333" spans="1:13">
      <c r="A333" s="216">
        <v>2356</v>
      </c>
      <c r="C333">
        <v>1752</v>
      </c>
      <c r="D333">
        <v>23271</v>
      </c>
      <c r="E333">
        <v>35834</v>
      </c>
      <c r="F333">
        <v>62150</v>
      </c>
      <c r="G333">
        <v>27739</v>
      </c>
      <c r="H333" s="238">
        <v>0.03</v>
      </c>
      <c r="J333" s="228">
        <v>0.02</v>
      </c>
      <c r="L333">
        <v>280</v>
      </c>
      <c r="M333">
        <v>78.14</v>
      </c>
    </row>
    <row r="334" spans="1:13">
      <c r="A334" s="216">
        <v>2373</v>
      </c>
      <c r="C334">
        <v>169</v>
      </c>
      <c r="D334">
        <v>3679</v>
      </c>
      <c r="E334">
        <v>1811</v>
      </c>
      <c r="F334">
        <v>8112</v>
      </c>
      <c r="G334">
        <v>2317</v>
      </c>
      <c r="H334" s="238">
        <v>0.03</v>
      </c>
      <c r="J334" s="228">
        <v>0.02</v>
      </c>
      <c r="L334">
        <v>280</v>
      </c>
      <c r="M334">
        <v>78.08</v>
      </c>
    </row>
    <row r="335" spans="1:13">
      <c r="A335" s="216">
        <v>2374</v>
      </c>
      <c r="C335">
        <v>214</v>
      </c>
      <c r="D335">
        <v>3516</v>
      </c>
      <c r="E335">
        <v>3558</v>
      </c>
      <c r="F335">
        <v>8713</v>
      </c>
      <c r="G335">
        <v>410</v>
      </c>
      <c r="H335" s="238">
        <v>0.03</v>
      </c>
      <c r="J335" s="228">
        <v>0.02</v>
      </c>
      <c r="L335">
        <v>280</v>
      </c>
      <c r="M335">
        <v>78.010000000000005</v>
      </c>
    </row>
    <row r="336" spans="1:13">
      <c r="A336" s="216">
        <v>2401</v>
      </c>
      <c r="C336">
        <v>290</v>
      </c>
      <c r="D336">
        <v>5295</v>
      </c>
      <c r="E336">
        <v>3573</v>
      </c>
      <c r="F336">
        <v>10724</v>
      </c>
      <c r="G336">
        <v>1744</v>
      </c>
      <c r="H336" s="238">
        <v>0.03</v>
      </c>
      <c r="J336" s="228">
        <v>0.02</v>
      </c>
      <c r="L336">
        <v>280</v>
      </c>
      <c r="M336">
        <v>77.95</v>
      </c>
    </row>
    <row r="337" spans="1:13">
      <c r="A337" s="216">
        <v>2413</v>
      </c>
      <c r="C337">
        <v>59</v>
      </c>
      <c r="D337">
        <v>944</v>
      </c>
      <c r="E337">
        <v>1332</v>
      </c>
      <c r="F337">
        <v>2024</v>
      </c>
      <c r="G337">
        <v>510</v>
      </c>
      <c r="H337" s="238">
        <v>0.03</v>
      </c>
      <c r="J337" s="228">
        <v>0.02</v>
      </c>
      <c r="L337">
        <v>280</v>
      </c>
      <c r="M337">
        <v>77.88</v>
      </c>
    </row>
    <row r="338" spans="1:13">
      <c r="A338" s="216">
        <v>2414</v>
      </c>
      <c r="C338">
        <v>75</v>
      </c>
      <c r="D338">
        <v>1754</v>
      </c>
      <c r="E338">
        <v>1050</v>
      </c>
      <c r="F338">
        <v>2927</v>
      </c>
      <c r="G338">
        <v>954</v>
      </c>
      <c r="H338" s="238">
        <v>0.03</v>
      </c>
      <c r="J338" s="228">
        <v>0.02</v>
      </c>
      <c r="L338">
        <v>280</v>
      </c>
      <c r="M338">
        <v>77.81</v>
      </c>
    </row>
    <row r="339" spans="1:13">
      <c r="A339" s="216">
        <v>2419</v>
      </c>
      <c r="C339">
        <v>87</v>
      </c>
      <c r="D339">
        <v>2260</v>
      </c>
      <c r="E339">
        <v>965</v>
      </c>
      <c r="F339">
        <v>3365</v>
      </c>
      <c r="G339">
        <v>922</v>
      </c>
      <c r="H339" s="238">
        <v>0.03</v>
      </c>
      <c r="J339" s="228">
        <v>0.02</v>
      </c>
      <c r="L339">
        <v>280</v>
      </c>
      <c r="M339">
        <v>77.75</v>
      </c>
    </row>
    <row r="340" spans="1:13">
      <c r="A340" s="216">
        <v>2426</v>
      </c>
      <c r="C340">
        <v>78</v>
      </c>
      <c r="D340">
        <v>1702</v>
      </c>
      <c r="E340">
        <v>1189</v>
      </c>
      <c r="F340">
        <v>3429</v>
      </c>
      <c r="G340">
        <v>732</v>
      </c>
      <c r="H340" s="238">
        <v>0.03</v>
      </c>
      <c r="J340" s="228">
        <v>0.02</v>
      </c>
      <c r="L340">
        <v>280</v>
      </c>
      <c r="M340">
        <v>77.680000000000007</v>
      </c>
    </row>
    <row r="341" spans="1:13">
      <c r="A341" s="216">
        <v>2481</v>
      </c>
      <c r="C341">
        <v>264</v>
      </c>
      <c r="D341">
        <v>2399</v>
      </c>
      <c r="E341">
        <v>7965</v>
      </c>
      <c r="F341">
        <v>8040</v>
      </c>
      <c r="G341">
        <v>3438</v>
      </c>
      <c r="H341" s="238">
        <v>0.03</v>
      </c>
      <c r="J341" s="228">
        <v>0.02</v>
      </c>
      <c r="L341">
        <v>280</v>
      </c>
      <c r="M341">
        <v>77.62</v>
      </c>
    </row>
    <row r="342" spans="1:13">
      <c r="A342" s="216">
        <v>2492</v>
      </c>
      <c r="C342">
        <v>393</v>
      </c>
      <c r="D342">
        <v>6563</v>
      </c>
      <c r="E342">
        <v>5721</v>
      </c>
      <c r="F342">
        <v>15344</v>
      </c>
      <c r="G342">
        <v>2787</v>
      </c>
      <c r="H342" s="238">
        <v>0.03</v>
      </c>
      <c r="J342" s="228">
        <v>0.02</v>
      </c>
      <c r="L342">
        <v>280</v>
      </c>
      <c r="M342">
        <v>77.55</v>
      </c>
    </row>
    <row r="343" spans="1:13">
      <c r="A343" s="216">
        <v>2497</v>
      </c>
      <c r="C343">
        <v>49</v>
      </c>
      <c r="D343">
        <v>871</v>
      </c>
      <c r="E343">
        <v>1051</v>
      </c>
      <c r="F343">
        <v>2041</v>
      </c>
      <c r="G343">
        <v>573</v>
      </c>
      <c r="H343" s="238">
        <v>0.03</v>
      </c>
      <c r="J343" s="228">
        <v>0.02</v>
      </c>
      <c r="L343">
        <v>280</v>
      </c>
      <c r="M343">
        <v>77.489999999999995</v>
      </c>
    </row>
    <row r="344" spans="1:13">
      <c r="A344" s="216">
        <v>2540</v>
      </c>
      <c r="C344">
        <v>89</v>
      </c>
      <c r="D344">
        <v>2724</v>
      </c>
      <c r="E344">
        <v>146</v>
      </c>
      <c r="F344">
        <v>3658</v>
      </c>
      <c r="G344">
        <v>951</v>
      </c>
      <c r="H344" s="238">
        <v>0.03</v>
      </c>
      <c r="J344" s="228">
        <v>0.02</v>
      </c>
      <c r="L344">
        <v>280</v>
      </c>
      <c r="M344">
        <v>77.42</v>
      </c>
    </row>
    <row r="345" spans="1:13">
      <c r="A345" s="216">
        <v>2727</v>
      </c>
      <c r="C345">
        <v>105</v>
      </c>
      <c r="D345">
        <v>815</v>
      </c>
      <c r="E345">
        <v>2938</v>
      </c>
      <c r="F345">
        <v>4755</v>
      </c>
      <c r="G345">
        <v>111</v>
      </c>
      <c r="H345" s="238">
        <v>0.03</v>
      </c>
      <c r="J345" s="228">
        <v>0.02</v>
      </c>
      <c r="L345">
        <v>280</v>
      </c>
      <c r="M345">
        <v>77.349999999999994</v>
      </c>
    </row>
    <row r="346" spans="1:13">
      <c r="A346" s="216">
        <v>3005</v>
      </c>
      <c r="C346">
        <v>356</v>
      </c>
      <c r="D346">
        <v>6472</v>
      </c>
      <c r="E346">
        <v>6200</v>
      </c>
      <c r="F346">
        <v>14854</v>
      </c>
      <c r="G346">
        <v>1338</v>
      </c>
      <c r="H346" s="238">
        <v>0.03</v>
      </c>
      <c r="J346" s="228">
        <v>0.02</v>
      </c>
      <c r="L346">
        <v>280</v>
      </c>
      <c r="M346">
        <v>77.290000000000006</v>
      </c>
    </row>
    <row r="347" spans="1:13">
      <c r="A347" s="216">
        <v>3042</v>
      </c>
      <c r="C347">
        <v>246</v>
      </c>
      <c r="D347">
        <v>4955</v>
      </c>
      <c r="E347">
        <v>4877</v>
      </c>
      <c r="F347">
        <v>9922</v>
      </c>
      <c r="G347">
        <v>1736</v>
      </c>
      <c r="H347" s="238">
        <v>0.03</v>
      </c>
      <c r="J347" s="228">
        <v>0.02</v>
      </c>
      <c r="L347">
        <v>280</v>
      </c>
      <c r="M347">
        <v>77.22</v>
      </c>
    </row>
    <row r="348" spans="1:13">
      <c r="A348" s="216">
        <v>3090</v>
      </c>
      <c r="C348">
        <v>98</v>
      </c>
      <c r="D348">
        <v>2362</v>
      </c>
      <c r="E348">
        <v>664</v>
      </c>
      <c r="F348">
        <v>2876</v>
      </c>
      <c r="G348">
        <v>1565</v>
      </c>
      <c r="H348" s="238">
        <v>0.03</v>
      </c>
      <c r="J348" s="228">
        <v>0.02</v>
      </c>
      <c r="L348">
        <v>280</v>
      </c>
      <c r="M348">
        <v>77.16</v>
      </c>
    </row>
    <row r="349" spans="1:13">
      <c r="A349" s="216">
        <v>4164</v>
      </c>
      <c r="C349">
        <v>145</v>
      </c>
      <c r="D349">
        <v>287</v>
      </c>
      <c r="E349">
        <v>4619</v>
      </c>
      <c r="F349">
        <v>4925</v>
      </c>
      <c r="G349">
        <v>1388</v>
      </c>
      <c r="H349" s="238">
        <v>0.03</v>
      </c>
      <c r="J349" s="228">
        <v>0.02</v>
      </c>
      <c r="L349">
        <v>280</v>
      </c>
      <c r="M349">
        <v>77.09</v>
      </c>
    </row>
    <row r="350" spans="1:13">
      <c r="A350" s="216">
        <v>4532</v>
      </c>
      <c r="C350">
        <v>277</v>
      </c>
      <c r="D350">
        <v>4659</v>
      </c>
      <c r="E350">
        <v>6016</v>
      </c>
      <c r="F350">
        <v>9922</v>
      </c>
      <c r="G350">
        <v>4429</v>
      </c>
      <c r="H350" s="238">
        <v>0.03</v>
      </c>
      <c r="J350" s="228">
        <v>0.02</v>
      </c>
      <c r="L350">
        <v>280</v>
      </c>
      <c r="M350">
        <v>77.02</v>
      </c>
    </row>
    <row r="351" spans="1:13">
      <c r="A351" s="216">
        <v>4746</v>
      </c>
      <c r="C351">
        <v>94</v>
      </c>
      <c r="D351">
        <v>756</v>
      </c>
      <c r="E351">
        <v>2627</v>
      </c>
      <c r="F351">
        <v>3008</v>
      </c>
      <c r="G351">
        <v>1066</v>
      </c>
      <c r="H351" s="238">
        <v>0.03</v>
      </c>
      <c r="J351" s="228">
        <v>0.02</v>
      </c>
      <c r="L351">
        <v>280</v>
      </c>
      <c r="M351">
        <v>76.959999999999994</v>
      </c>
    </row>
    <row r="352" spans="1:13">
      <c r="A352" s="216">
        <v>6257</v>
      </c>
      <c r="C352">
        <v>228</v>
      </c>
      <c r="D352">
        <v>2839</v>
      </c>
      <c r="E352">
        <v>6142</v>
      </c>
      <c r="F352">
        <v>7746</v>
      </c>
      <c r="G352">
        <v>2149</v>
      </c>
      <c r="H352" s="238">
        <v>0.03</v>
      </c>
      <c r="J352" s="228">
        <v>0.02</v>
      </c>
      <c r="L352">
        <v>280</v>
      </c>
      <c r="M352">
        <v>76.89</v>
      </c>
    </row>
    <row r="353" spans="1:13">
      <c r="A353" s="216">
        <v>8081</v>
      </c>
      <c r="C353">
        <v>108</v>
      </c>
      <c r="D353">
        <v>2700</v>
      </c>
      <c r="E353">
        <v>524</v>
      </c>
      <c r="F353">
        <v>3792</v>
      </c>
      <c r="G353">
        <v>625</v>
      </c>
      <c r="H353" s="238">
        <v>0.03</v>
      </c>
      <c r="J353" s="228">
        <v>0.02</v>
      </c>
      <c r="L353">
        <v>280</v>
      </c>
      <c r="M353">
        <v>76.83</v>
      </c>
    </row>
    <row r="354" spans="1:13">
      <c r="A354" s="216">
        <v>8213</v>
      </c>
      <c r="C354">
        <v>481</v>
      </c>
      <c r="D354">
        <v>3226</v>
      </c>
      <c r="E354">
        <v>11000</v>
      </c>
      <c r="F354">
        <v>13582</v>
      </c>
      <c r="G354">
        <v>7885</v>
      </c>
      <c r="H354" s="238">
        <v>0.03</v>
      </c>
      <c r="J354" s="228">
        <v>0.02</v>
      </c>
      <c r="L354">
        <v>280</v>
      </c>
      <c r="M354">
        <v>76.760000000000005</v>
      </c>
    </row>
    <row r="355" spans="1:13">
      <c r="A355" s="216">
        <v>3689</v>
      </c>
      <c r="C355">
        <v>65</v>
      </c>
      <c r="D355">
        <v>1295</v>
      </c>
      <c r="E355">
        <v>1008</v>
      </c>
      <c r="F355">
        <v>2675</v>
      </c>
      <c r="G355">
        <v>812</v>
      </c>
      <c r="H355" s="238">
        <v>0.03</v>
      </c>
      <c r="J355" s="228">
        <v>0.02</v>
      </c>
      <c r="L355">
        <v>280</v>
      </c>
      <c r="M355">
        <v>76.7</v>
      </c>
    </row>
    <row r="356" spans="1:13">
      <c r="A356" s="216">
        <v>4129</v>
      </c>
      <c r="C356">
        <v>38</v>
      </c>
      <c r="D356">
        <v>326</v>
      </c>
      <c r="E356">
        <v>846</v>
      </c>
      <c r="F356">
        <v>1130</v>
      </c>
      <c r="G356">
        <v>460</v>
      </c>
      <c r="H356" s="238">
        <v>0.03</v>
      </c>
      <c r="J356" s="228">
        <v>0.02</v>
      </c>
      <c r="L356">
        <v>280</v>
      </c>
      <c r="M356">
        <v>76.63</v>
      </c>
    </row>
    <row r="357" spans="1:13">
      <c r="A357" s="216">
        <v>5403</v>
      </c>
      <c r="C357">
        <v>28</v>
      </c>
      <c r="D357">
        <v>41</v>
      </c>
      <c r="E357">
        <v>845</v>
      </c>
      <c r="F357">
        <v>1140</v>
      </c>
      <c r="G357">
        <v>313</v>
      </c>
      <c r="H357" s="238">
        <v>0.03</v>
      </c>
      <c r="J357" s="228">
        <v>0.02</v>
      </c>
      <c r="L357">
        <v>280</v>
      </c>
      <c r="M357">
        <v>76.56</v>
      </c>
    </row>
    <row r="358" spans="1:13">
      <c r="A358" s="216">
        <v>6247</v>
      </c>
      <c r="C358">
        <v>22</v>
      </c>
      <c r="D358">
        <v>297</v>
      </c>
      <c r="E358">
        <v>536</v>
      </c>
      <c r="F358">
        <v>929</v>
      </c>
      <c r="G358">
        <v>262</v>
      </c>
      <c r="H358" s="238">
        <v>0.03</v>
      </c>
      <c r="J358" s="228">
        <v>0.02</v>
      </c>
      <c r="L358">
        <v>280</v>
      </c>
      <c r="M358">
        <v>76.5</v>
      </c>
    </row>
    <row r="359" spans="1:13">
      <c r="A359" s="216">
        <v>8099</v>
      </c>
      <c r="C359">
        <v>27</v>
      </c>
      <c r="D359">
        <v>750</v>
      </c>
      <c r="E359">
        <v>103</v>
      </c>
      <c r="F359">
        <v>969</v>
      </c>
      <c r="G359">
        <v>200</v>
      </c>
      <c r="H359" s="238">
        <v>0.03</v>
      </c>
      <c r="J359" s="228">
        <v>0.02</v>
      </c>
      <c r="L359">
        <v>280</v>
      </c>
      <c r="M359">
        <v>76.430000000000007</v>
      </c>
    </row>
    <row r="360" spans="1:13">
      <c r="A360" s="216">
        <v>1456</v>
      </c>
      <c r="C360">
        <v>11</v>
      </c>
      <c r="D360">
        <v>0</v>
      </c>
      <c r="E360">
        <v>145</v>
      </c>
      <c r="F360">
        <v>938</v>
      </c>
      <c r="G360">
        <v>2825</v>
      </c>
      <c r="H360" s="238">
        <v>0.08</v>
      </c>
      <c r="J360" s="228">
        <v>0</v>
      </c>
      <c r="L360">
        <v>295</v>
      </c>
      <c r="M360">
        <v>76.37</v>
      </c>
    </row>
    <row r="361" spans="1:13">
      <c r="A361" s="216">
        <v>2207</v>
      </c>
      <c r="C361">
        <v>1738</v>
      </c>
      <c r="D361">
        <v>9564</v>
      </c>
      <c r="E361">
        <v>35778</v>
      </c>
      <c r="F361">
        <v>43553</v>
      </c>
      <c r="G361">
        <v>77684</v>
      </c>
      <c r="H361" s="238">
        <v>0.04</v>
      </c>
      <c r="J361" s="228">
        <v>0.01</v>
      </c>
      <c r="L361">
        <v>300</v>
      </c>
      <c r="M361">
        <v>76.3</v>
      </c>
    </row>
    <row r="362" spans="1:13">
      <c r="A362" s="216">
        <v>2509</v>
      </c>
      <c r="C362">
        <v>96</v>
      </c>
      <c r="D362">
        <v>2406</v>
      </c>
      <c r="E362">
        <v>204</v>
      </c>
      <c r="F362">
        <v>3245</v>
      </c>
      <c r="G362">
        <v>3778</v>
      </c>
      <c r="H362" s="238">
        <v>0.04</v>
      </c>
      <c r="J362" s="228">
        <v>0.01</v>
      </c>
      <c r="L362">
        <v>300</v>
      </c>
      <c r="M362">
        <v>76.23</v>
      </c>
    </row>
    <row r="363" spans="1:13">
      <c r="A363" s="216">
        <v>6184</v>
      </c>
      <c r="C363">
        <v>79</v>
      </c>
      <c r="D363">
        <v>0</v>
      </c>
      <c r="E363">
        <v>2169</v>
      </c>
      <c r="F363">
        <v>4995</v>
      </c>
      <c r="G363">
        <v>1704</v>
      </c>
      <c r="H363" s="238">
        <v>0.04</v>
      </c>
      <c r="J363" s="228">
        <v>0.01</v>
      </c>
      <c r="L363">
        <v>300</v>
      </c>
      <c r="M363">
        <v>76.17</v>
      </c>
    </row>
    <row r="364" spans="1:13">
      <c r="A364" s="216">
        <v>6148</v>
      </c>
      <c r="C364">
        <v>40</v>
      </c>
      <c r="D364">
        <v>925</v>
      </c>
      <c r="E364">
        <v>12</v>
      </c>
      <c r="F364">
        <v>1328</v>
      </c>
      <c r="G364">
        <v>2089</v>
      </c>
      <c r="H364" s="238">
        <v>0.04</v>
      </c>
      <c r="J364" s="228">
        <v>0.01</v>
      </c>
      <c r="L364">
        <v>300</v>
      </c>
      <c r="M364">
        <v>76.099999999999994</v>
      </c>
    </row>
    <row r="365" spans="1:13">
      <c r="A365" s="216">
        <v>1229</v>
      </c>
      <c r="C365">
        <v>95</v>
      </c>
      <c r="D365">
        <v>0</v>
      </c>
      <c r="E365">
        <v>1501</v>
      </c>
      <c r="F365">
        <v>20002</v>
      </c>
      <c r="G365">
        <v>2890</v>
      </c>
      <c r="H365" s="238">
        <v>0.06</v>
      </c>
      <c r="J365" s="228">
        <v>0</v>
      </c>
      <c r="L365">
        <v>315</v>
      </c>
      <c r="M365">
        <v>76.040000000000006</v>
      </c>
    </row>
    <row r="366" spans="1:13">
      <c r="A366" s="216">
        <v>1319</v>
      </c>
      <c r="C366">
        <v>377</v>
      </c>
      <c r="D366">
        <v>1187</v>
      </c>
      <c r="E366">
        <v>17691</v>
      </c>
      <c r="F366">
        <v>18634</v>
      </c>
      <c r="G366">
        <v>4210</v>
      </c>
      <c r="H366" s="238">
        <v>0.02</v>
      </c>
      <c r="J366" s="228">
        <v>0.02</v>
      </c>
      <c r="L366">
        <v>324</v>
      </c>
      <c r="M366">
        <v>75.97</v>
      </c>
    </row>
    <row r="367" spans="1:13">
      <c r="A367" s="216">
        <v>1522</v>
      </c>
      <c r="C367">
        <v>175</v>
      </c>
      <c r="D367">
        <v>847</v>
      </c>
      <c r="E367">
        <v>7093</v>
      </c>
      <c r="F367">
        <v>6457</v>
      </c>
      <c r="G367">
        <v>2905</v>
      </c>
      <c r="H367" s="238">
        <v>0.02</v>
      </c>
      <c r="J367" s="228">
        <v>0.02</v>
      </c>
      <c r="L367">
        <v>324</v>
      </c>
      <c r="M367">
        <v>75.91</v>
      </c>
    </row>
    <row r="368" spans="1:13">
      <c r="A368" s="216">
        <v>1524</v>
      </c>
      <c r="C368">
        <v>51</v>
      </c>
      <c r="D368">
        <v>0</v>
      </c>
      <c r="E368">
        <v>3161</v>
      </c>
      <c r="F368">
        <v>1811</v>
      </c>
      <c r="G368">
        <v>732</v>
      </c>
      <c r="H368" s="238">
        <v>0.02</v>
      </c>
      <c r="J368" s="228">
        <v>0.02</v>
      </c>
      <c r="L368">
        <v>324</v>
      </c>
      <c r="M368">
        <v>75.84</v>
      </c>
    </row>
    <row r="369" spans="1:13">
      <c r="A369" s="216">
        <v>1614</v>
      </c>
      <c r="C369">
        <v>91</v>
      </c>
      <c r="D369">
        <v>1206</v>
      </c>
      <c r="E369">
        <v>2796</v>
      </c>
      <c r="F369">
        <v>5066</v>
      </c>
      <c r="G369">
        <v>60</v>
      </c>
      <c r="H369" s="238">
        <v>0.02</v>
      </c>
      <c r="J369" s="228">
        <v>0.02</v>
      </c>
      <c r="L369">
        <v>324</v>
      </c>
      <c r="M369">
        <v>75.77</v>
      </c>
    </row>
    <row r="370" spans="1:13">
      <c r="A370" s="216">
        <v>1711</v>
      </c>
      <c r="C370">
        <v>178</v>
      </c>
      <c r="D370">
        <v>2018</v>
      </c>
      <c r="E370">
        <v>5221</v>
      </c>
      <c r="F370">
        <v>7839</v>
      </c>
      <c r="G370">
        <v>3149</v>
      </c>
      <c r="H370" s="238">
        <v>0.02</v>
      </c>
      <c r="J370" s="228">
        <v>0.02</v>
      </c>
      <c r="L370">
        <v>324</v>
      </c>
      <c r="M370">
        <v>75.709999999999994</v>
      </c>
    </row>
    <row r="371" spans="1:13">
      <c r="A371" s="216">
        <v>1806</v>
      </c>
      <c r="C371">
        <v>197</v>
      </c>
      <c r="D371">
        <v>2116</v>
      </c>
      <c r="E371">
        <v>6579</v>
      </c>
      <c r="F371">
        <v>7599</v>
      </c>
      <c r="G371">
        <v>2279</v>
      </c>
      <c r="H371" s="238">
        <v>0.02</v>
      </c>
      <c r="J371" s="228">
        <v>0.02</v>
      </c>
      <c r="L371">
        <v>324</v>
      </c>
      <c r="M371">
        <v>75.64</v>
      </c>
    </row>
    <row r="372" spans="1:13">
      <c r="A372" s="216">
        <v>2034</v>
      </c>
      <c r="C372">
        <v>148</v>
      </c>
      <c r="D372">
        <v>3858</v>
      </c>
      <c r="E372">
        <v>2561</v>
      </c>
      <c r="F372">
        <v>6965</v>
      </c>
      <c r="G372">
        <v>1824</v>
      </c>
      <c r="H372" s="238">
        <v>0.02</v>
      </c>
      <c r="J372" s="228">
        <v>0.02</v>
      </c>
      <c r="L372">
        <v>324</v>
      </c>
      <c r="M372">
        <v>75.58</v>
      </c>
    </row>
    <row r="373" spans="1:13">
      <c r="A373" s="216">
        <v>2049</v>
      </c>
      <c r="C373">
        <v>445</v>
      </c>
      <c r="D373">
        <v>3018</v>
      </c>
      <c r="E373">
        <v>15740</v>
      </c>
      <c r="F373">
        <v>14556</v>
      </c>
      <c r="G373">
        <v>6559</v>
      </c>
      <c r="H373" s="238">
        <v>0.02</v>
      </c>
      <c r="J373" s="228">
        <v>0.02</v>
      </c>
      <c r="L373">
        <v>324</v>
      </c>
      <c r="M373">
        <v>75.510000000000005</v>
      </c>
    </row>
    <row r="374" spans="1:13">
      <c r="A374" s="216">
        <v>2101</v>
      </c>
      <c r="C374">
        <v>317</v>
      </c>
      <c r="D374">
        <v>4646</v>
      </c>
      <c r="E374">
        <v>8107</v>
      </c>
      <c r="F374">
        <v>11926</v>
      </c>
      <c r="G374">
        <v>5649</v>
      </c>
      <c r="H374" s="238">
        <v>0.02</v>
      </c>
      <c r="J374" s="228">
        <v>0.02</v>
      </c>
      <c r="L374">
        <v>324</v>
      </c>
      <c r="M374">
        <v>75.44</v>
      </c>
    </row>
    <row r="375" spans="1:13">
      <c r="A375" s="216">
        <v>2102</v>
      </c>
      <c r="C375">
        <v>204</v>
      </c>
      <c r="D375">
        <v>3467</v>
      </c>
      <c r="E375">
        <v>7178</v>
      </c>
      <c r="F375">
        <v>10158</v>
      </c>
      <c r="G375">
        <v>594</v>
      </c>
      <c r="H375" s="238">
        <v>0.02</v>
      </c>
      <c r="J375" s="228">
        <v>0.02</v>
      </c>
      <c r="L375">
        <v>324</v>
      </c>
      <c r="M375">
        <v>75.38</v>
      </c>
    </row>
    <row r="376" spans="1:13">
      <c r="A376" s="216">
        <v>2340</v>
      </c>
      <c r="C376">
        <v>164</v>
      </c>
      <c r="D376">
        <v>4596</v>
      </c>
      <c r="E376">
        <v>3156</v>
      </c>
      <c r="F376">
        <v>7608</v>
      </c>
      <c r="G376">
        <v>1189</v>
      </c>
      <c r="H376" s="238">
        <v>0.02</v>
      </c>
      <c r="J376" s="228">
        <v>0.02</v>
      </c>
      <c r="L376">
        <v>324</v>
      </c>
      <c r="M376">
        <v>75.31</v>
      </c>
    </row>
    <row r="377" spans="1:13">
      <c r="A377" s="216">
        <v>2344</v>
      </c>
      <c r="C377">
        <v>888</v>
      </c>
      <c r="D377">
        <v>11951</v>
      </c>
      <c r="E377">
        <v>32485</v>
      </c>
      <c r="F377">
        <v>39474</v>
      </c>
      <c r="G377">
        <v>4840</v>
      </c>
      <c r="H377" s="238">
        <v>0.02</v>
      </c>
      <c r="J377" s="228">
        <v>0.02</v>
      </c>
      <c r="L377">
        <v>324</v>
      </c>
      <c r="M377">
        <v>75.25</v>
      </c>
    </row>
    <row r="378" spans="1:13">
      <c r="A378" s="216">
        <v>2367</v>
      </c>
      <c r="C378">
        <v>210</v>
      </c>
      <c r="D378">
        <v>1186</v>
      </c>
      <c r="E378">
        <v>8733</v>
      </c>
      <c r="F378">
        <v>9720</v>
      </c>
      <c r="G378">
        <v>2677</v>
      </c>
      <c r="H378" s="238">
        <v>0.02</v>
      </c>
      <c r="J378" s="228">
        <v>0.02</v>
      </c>
      <c r="L378">
        <v>324</v>
      </c>
      <c r="M378">
        <v>75.180000000000007</v>
      </c>
    </row>
    <row r="379" spans="1:13">
      <c r="A379" s="216">
        <v>2368</v>
      </c>
      <c r="C379">
        <v>213</v>
      </c>
      <c r="D379">
        <v>735</v>
      </c>
      <c r="E379">
        <v>8448</v>
      </c>
      <c r="F379">
        <v>7330</v>
      </c>
      <c r="G379">
        <v>6411</v>
      </c>
      <c r="H379" s="238">
        <v>0.02</v>
      </c>
      <c r="J379" s="228">
        <v>0.02</v>
      </c>
      <c r="L379">
        <v>324</v>
      </c>
      <c r="M379">
        <v>75.12</v>
      </c>
    </row>
    <row r="380" spans="1:13">
      <c r="A380" s="216">
        <v>2393</v>
      </c>
      <c r="C380">
        <v>458</v>
      </c>
      <c r="D380">
        <v>13261</v>
      </c>
      <c r="E380">
        <v>10834</v>
      </c>
      <c r="F380">
        <v>17741</v>
      </c>
      <c r="G380">
        <v>1369</v>
      </c>
      <c r="H380" s="238">
        <v>0.02</v>
      </c>
      <c r="J380" s="228">
        <v>0.02</v>
      </c>
      <c r="L380">
        <v>324</v>
      </c>
      <c r="M380">
        <v>75.05</v>
      </c>
    </row>
    <row r="381" spans="1:13">
      <c r="A381" s="216">
        <v>2459</v>
      </c>
      <c r="C381">
        <v>122</v>
      </c>
      <c r="D381">
        <v>2971</v>
      </c>
      <c r="E381">
        <v>2464</v>
      </c>
      <c r="F381">
        <v>5024</v>
      </c>
      <c r="G381">
        <v>1225</v>
      </c>
      <c r="H381" s="238">
        <v>0.02</v>
      </c>
      <c r="J381" s="228">
        <v>0.02</v>
      </c>
      <c r="L381">
        <v>324</v>
      </c>
      <c r="M381">
        <v>74.98</v>
      </c>
    </row>
    <row r="382" spans="1:13">
      <c r="A382" s="216">
        <v>2485</v>
      </c>
      <c r="C382">
        <v>167</v>
      </c>
      <c r="D382">
        <v>5160</v>
      </c>
      <c r="E382">
        <v>1857</v>
      </c>
      <c r="F382">
        <v>7247</v>
      </c>
      <c r="G382">
        <v>87</v>
      </c>
      <c r="H382" s="238">
        <v>0.02</v>
      </c>
      <c r="J382" s="228">
        <v>0.02</v>
      </c>
      <c r="L382">
        <v>324</v>
      </c>
      <c r="M382">
        <v>74.92</v>
      </c>
    </row>
    <row r="383" spans="1:13">
      <c r="A383" s="216">
        <v>2616</v>
      </c>
      <c r="C383">
        <v>46</v>
      </c>
      <c r="D383">
        <v>206</v>
      </c>
      <c r="E383">
        <v>2297</v>
      </c>
      <c r="F383">
        <v>2895</v>
      </c>
      <c r="G383">
        <v>98</v>
      </c>
      <c r="H383" s="238">
        <v>0.02</v>
      </c>
      <c r="J383" s="228">
        <v>0.02</v>
      </c>
      <c r="L383">
        <v>324</v>
      </c>
      <c r="M383">
        <v>74.849999999999994</v>
      </c>
    </row>
    <row r="384" spans="1:13">
      <c r="A384" s="216">
        <v>2702</v>
      </c>
      <c r="C384">
        <v>52</v>
      </c>
      <c r="D384">
        <v>0</v>
      </c>
      <c r="E384">
        <v>3019</v>
      </c>
      <c r="F384">
        <v>1210</v>
      </c>
      <c r="G384">
        <v>1631</v>
      </c>
      <c r="H384" s="238">
        <v>0.02</v>
      </c>
      <c r="J384" s="228">
        <v>0.02</v>
      </c>
      <c r="L384">
        <v>324</v>
      </c>
      <c r="M384">
        <v>74.790000000000006</v>
      </c>
    </row>
    <row r="385" spans="1:13">
      <c r="A385" s="216">
        <v>3013</v>
      </c>
      <c r="C385">
        <v>38</v>
      </c>
      <c r="D385">
        <v>976</v>
      </c>
      <c r="E385">
        <v>1032</v>
      </c>
      <c r="F385">
        <v>2235</v>
      </c>
      <c r="G385">
        <v>140</v>
      </c>
      <c r="H385" s="238">
        <v>0.02</v>
      </c>
      <c r="J385" s="228">
        <v>0.02</v>
      </c>
      <c r="L385">
        <v>324</v>
      </c>
      <c r="M385">
        <v>74.72</v>
      </c>
    </row>
    <row r="386" spans="1:13">
      <c r="A386" s="216">
        <v>3019</v>
      </c>
      <c r="C386">
        <v>279</v>
      </c>
      <c r="D386">
        <v>9703</v>
      </c>
      <c r="E386">
        <v>6079</v>
      </c>
      <c r="F386">
        <v>16310</v>
      </c>
      <c r="G386">
        <v>1282</v>
      </c>
      <c r="H386" s="238">
        <v>0.02</v>
      </c>
      <c r="J386" s="228">
        <v>0.02</v>
      </c>
      <c r="L386">
        <v>324</v>
      </c>
      <c r="M386">
        <v>74.650000000000006</v>
      </c>
    </row>
    <row r="387" spans="1:13">
      <c r="A387" s="216">
        <v>3026</v>
      </c>
      <c r="C387">
        <v>179</v>
      </c>
      <c r="D387">
        <v>5084</v>
      </c>
      <c r="E387">
        <v>2689</v>
      </c>
      <c r="F387">
        <v>9024</v>
      </c>
      <c r="G387">
        <v>1590</v>
      </c>
      <c r="H387" s="238">
        <v>0.02</v>
      </c>
      <c r="J387" s="228">
        <v>0.02</v>
      </c>
      <c r="L387">
        <v>324</v>
      </c>
      <c r="M387">
        <v>74.59</v>
      </c>
    </row>
    <row r="388" spans="1:13">
      <c r="A388" s="216">
        <v>3038</v>
      </c>
      <c r="C388">
        <v>41</v>
      </c>
      <c r="D388">
        <v>1696</v>
      </c>
      <c r="E388">
        <v>560</v>
      </c>
      <c r="F388">
        <v>2214</v>
      </c>
      <c r="G388">
        <v>409</v>
      </c>
      <c r="H388" s="238">
        <v>0.02</v>
      </c>
      <c r="J388" s="228">
        <v>0.02</v>
      </c>
      <c r="L388">
        <v>324</v>
      </c>
      <c r="M388">
        <v>74.52</v>
      </c>
    </row>
    <row r="389" spans="1:13">
      <c r="A389" s="216">
        <v>3049</v>
      </c>
      <c r="C389">
        <v>226</v>
      </c>
      <c r="D389">
        <v>0</v>
      </c>
      <c r="E389">
        <v>11021</v>
      </c>
      <c r="F389">
        <v>7631</v>
      </c>
      <c r="G389">
        <v>6514</v>
      </c>
      <c r="H389" s="238">
        <v>0.02</v>
      </c>
      <c r="J389" s="228">
        <v>0.02</v>
      </c>
      <c r="L389">
        <v>324</v>
      </c>
      <c r="M389">
        <v>74.459999999999994</v>
      </c>
    </row>
    <row r="390" spans="1:13">
      <c r="A390" s="216">
        <v>3059</v>
      </c>
      <c r="C390">
        <v>180</v>
      </c>
      <c r="D390">
        <v>4249</v>
      </c>
      <c r="E390">
        <v>5394</v>
      </c>
      <c r="F390">
        <v>9728</v>
      </c>
      <c r="G390">
        <v>1550</v>
      </c>
      <c r="H390" s="238">
        <v>0.02</v>
      </c>
      <c r="J390" s="228">
        <v>0.02</v>
      </c>
      <c r="L390">
        <v>324</v>
      </c>
      <c r="M390">
        <v>74.39</v>
      </c>
    </row>
    <row r="391" spans="1:13">
      <c r="A391" s="216">
        <v>3257</v>
      </c>
      <c r="C391">
        <v>33</v>
      </c>
      <c r="D391">
        <v>1029</v>
      </c>
      <c r="E391">
        <v>313</v>
      </c>
      <c r="F391">
        <v>1489</v>
      </c>
      <c r="G391">
        <v>3</v>
      </c>
      <c r="H391" s="238">
        <v>0.02</v>
      </c>
      <c r="J391" s="228">
        <v>0.02</v>
      </c>
      <c r="L391">
        <v>324</v>
      </c>
      <c r="M391">
        <v>74.33</v>
      </c>
    </row>
    <row r="392" spans="1:13">
      <c r="A392" s="216">
        <v>3481</v>
      </c>
      <c r="C392">
        <v>5079</v>
      </c>
      <c r="D392">
        <v>32923</v>
      </c>
      <c r="E392">
        <v>204011</v>
      </c>
      <c r="F392">
        <v>241125</v>
      </c>
      <c r="G392">
        <v>16352</v>
      </c>
      <c r="H392" s="238">
        <v>0.02</v>
      </c>
      <c r="J392" s="228">
        <v>0.02</v>
      </c>
      <c r="L392">
        <v>324</v>
      </c>
      <c r="M392">
        <v>74.260000000000005</v>
      </c>
    </row>
    <row r="393" spans="1:13">
      <c r="A393" s="216">
        <v>3515</v>
      </c>
      <c r="C393">
        <v>94</v>
      </c>
      <c r="D393">
        <v>5546</v>
      </c>
      <c r="E393">
        <v>232</v>
      </c>
      <c r="F393">
        <v>5810</v>
      </c>
      <c r="G393">
        <v>340</v>
      </c>
      <c r="H393" s="238">
        <v>0.02</v>
      </c>
      <c r="J393" s="228">
        <v>0.02</v>
      </c>
      <c r="L393">
        <v>324</v>
      </c>
      <c r="M393">
        <v>74.19</v>
      </c>
    </row>
    <row r="394" spans="1:13">
      <c r="A394" s="216">
        <v>3598</v>
      </c>
      <c r="C394">
        <v>81</v>
      </c>
      <c r="D394">
        <v>2464</v>
      </c>
      <c r="E394">
        <v>832</v>
      </c>
      <c r="F394">
        <v>3256</v>
      </c>
      <c r="G394">
        <v>522</v>
      </c>
      <c r="H394" s="238">
        <v>0.02</v>
      </c>
      <c r="J394" s="228">
        <v>0.02</v>
      </c>
      <c r="L394">
        <v>324</v>
      </c>
      <c r="M394">
        <v>74.13</v>
      </c>
    </row>
    <row r="395" spans="1:13">
      <c r="A395" s="216">
        <v>5519</v>
      </c>
      <c r="C395">
        <v>77</v>
      </c>
      <c r="D395">
        <v>4446</v>
      </c>
      <c r="E395">
        <v>111</v>
      </c>
      <c r="F395">
        <v>2881</v>
      </c>
      <c r="G395">
        <v>729</v>
      </c>
      <c r="H395" s="238">
        <v>0.02</v>
      </c>
      <c r="J395" s="228">
        <v>0.02</v>
      </c>
      <c r="L395">
        <v>324</v>
      </c>
      <c r="M395">
        <v>74.06</v>
      </c>
    </row>
    <row r="396" spans="1:13">
      <c r="A396" s="216">
        <v>6201</v>
      </c>
      <c r="C396">
        <v>47</v>
      </c>
      <c r="D396">
        <v>1764</v>
      </c>
      <c r="E396">
        <v>688</v>
      </c>
      <c r="F396">
        <v>2409</v>
      </c>
      <c r="G396">
        <v>4</v>
      </c>
      <c r="H396" s="238">
        <v>0.02</v>
      </c>
      <c r="J396" s="228">
        <v>0.02</v>
      </c>
      <c r="L396">
        <v>324</v>
      </c>
      <c r="M396">
        <v>74</v>
      </c>
    </row>
    <row r="397" spans="1:13">
      <c r="A397" s="216">
        <v>6282</v>
      </c>
      <c r="C397">
        <v>182</v>
      </c>
      <c r="D397">
        <v>4477</v>
      </c>
      <c r="E397">
        <v>3609</v>
      </c>
      <c r="F397">
        <v>8848</v>
      </c>
      <c r="G397">
        <v>266</v>
      </c>
      <c r="H397" s="238">
        <v>0.02</v>
      </c>
      <c r="J397" s="228">
        <v>0.02</v>
      </c>
      <c r="L397">
        <v>324</v>
      </c>
      <c r="M397">
        <v>73.930000000000007</v>
      </c>
    </row>
    <row r="398" spans="1:13">
      <c r="A398" s="216">
        <v>6505</v>
      </c>
      <c r="C398">
        <v>5392</v>
      </c>
      <c r="D398">
        <v>138625</v>
      </c>
      <c r="E398">
        <v>134335</v>
      </c>
      <c r="F398">
        <v>248726</v>
      </c>
      <c r="G398">
        <v>30732</v>
      </c>
      <c r="H398" s="238">
        <v>0.02</v>
      </c>
      <c r="J398" s="228">
        <v>0.02</v>
      </c>
      <c r="L398">
        <v>324</v>
      </c>
      <c r="M398">
        <v>73.86</v>
      </c>
    </row>
    <row r="399" spans="1:13">
      <c r="A399" s="216">
        <v>8222</v>
      </c>
      <c r="C399">
        <v>16</v>
      </c>
      <c r="D399">
        <v>424</v>
      </c>
      <c r="E399">
        <v>577</v>
      </c>
      <c r="F399">
        <v>869</v>
      </c>
      <c r="G399">
        <v>186</v>
      </c>
      <c r="H399" s="238">
        <v>0.02</v>
      </c>
      <c r="J399" s="228">
        <v>0.02</v>
      </c>
      <c r="L399">
        <v>324</v>
      </c>
      <c r="M399">
        <v>73.8</v>
      </c>
    </row>
    <row r="400" spans="1:13">
      <c r="A400" s="216">
        <v>8411</v>
      </c>
      <c r="C400">
        <v>131</v>
      </c>
      <c r="D400">
        <v>1980</v>
      </c>
      <c r="E400">
        <v>4297</v>
      </c>
      <c r="F400">
        <v>6128</v>
      </c>
      <c r="G400">
        <v>1347</v>
      </c>
      <c r="H400" s="238">
        <v>0.02</v>
      </c>
      <c r="J400" s="228">
        <v>0.02</v>
      </c>
      <c r="L400">
        <v>324</v>
      </c>
      <c r="M400">
        <v>73.73</v>
      </c>
    </row>
    <row r="401" spans="1:13">
      <c r="A401" s="216">
        <v>9904</v>
      </c>
      <c r="C401">
        <v>3081</v>
      </c>
      <c r="D401">
        <v>55094</v>
      </c>
      <c r="E401">
        <v>68204</v>
      </c>
      <c r="F401">
        <v>153888</v>
      </c>
      <c r="G401">
        <v>39209</v>
      </c>
      <c r="H401" s="238">
        <v>0.02</v>
      </c>
      <c r="J401" s="228">
        <v>0.02</v>
      </c>
      <c r="L401">
        <v>324</v>
      </c>
      <c r="M401">
        <v>73.67</v>
      </c>
    </row>
    <row r="402" spans="1:13">
      <c r="A402" s="216">
        <v>9907</v>
      </c>
      <c r="C402">
        <v>662</v>
      </c>
      <c r="D402">
        <v>0</v>
      </c>
      <c r="E402">
        <v>33846</v>
      </c>
      <c r="F402">
        <v>20739</v>
      </c>
      <c r="G402">
        <v>9910</v>
      </c>
      <c r="H402" s="238">
        <v>0.02</v>
      </c>
      <c r="J402" s="228">
        <v>0.02</v>
      </c>
      <c r="L402">
        <v>324</v>
      </c>
      <c r="M402">
        <v>73.599999999999994</v>
      </c>
    </row>
    <row r="403" spans="1:13">
      <c r="A403" s="216">
        <v>9927</v>
      </c>
      <c r="C403">
        <v>93</v>
      </c>
      <c r="D403">
        <v>3427</v>
      </c>
      <c r="E403">
        <v>621</v>
      </c>
      <c r="F403">
        <v>4445</v>
      </c>
      <c r="G403">
        <v>1477</v>
      </c>
      <c r="H403" s="238">
        <v>0.02</v>
      </c>
      <c r="J403" s="228">
        <v>0.02</v>
      </c>
      <c r="L403">
        <v>324</v>
      </c>
      <c r="M403">
        <v>73.540000000000006</v>
      </c>
    </row>
    <row r="404" spans="1:13">
      <c r="A404" s="216">
        <v>9939</v>
      </c>
      <c r="C404">
        <v>391</v>
      </c>
      <c r="D404">
        <v>0</v>
      </c>
      <c r="E404">
        <v>18675</v>
      </c>
      <c r="F404">
        <v>13636</v>
      </c>
      <c r="G404">
        <v>10013</v>
      </c>
      <c r="H404" s="238">
        <v>0.02</v>
      </c>
      <c r="J404" s="228">
        <v>0.02</v>
      </c>
      <c r="L404">
        <v>324</v>
      </c>
      <c r="M404">
        <v>73.47</v>
      </c>
    </row>
    <row r="405" spans="1:13">
      <c r="A405" s="216">
        <v>1597</v>
      </c>
      <c r="C405">
        <v>29</v>
      </c>
      <c r="D405">
        <v>717</v>
      </c>
      <c r="E405">
        <v>688</v>
      </c>
      <c r="F405">
        <v>1310</v>
      </c>
      <c r="G405">
        <v>416</v>
      </c>
      <c r="H405" s="238">
        <v>0.02</v>
      </c>
      <c r="J405" s="228">
        <v>0.02</v>
      </c>
      <c r="L405">
        <v>324</v>
      </c>
      <c r="M405">
        <v>73.400000000000006</v>
      </c>
    </row>
    <row r="406" spans="1:13">
      <c r="A406" s="216">
        <v>3221</v>
      </c>
      <c r="C406">
        <v>28</v>
      </c>
      <c r="D406">
        <v>775</v>
      </c>
      <c r="E406">
        <v>707</v>
      </c>
      <c r="F406">
        <v>1560</v>
      </c>
      <c r="G406">
        <v>171</v>
      </c>
      <c r="H406" s="238">
        <v>0.02</v>
      </c>
      <c r="J406" s="228">
        <v>0.02</v>
      </c>
      <c r="L406">
        <v>324</v>
      </c>
      <c r="M406">
        <v>73.34</v>
      </c>
    </row>
    <row r="407" spans="1:13">
      <c r="A407" s="216">
        <v>3323</v>
      </c>
      <c r="C407">
        <v>44</v>
      </c>
      <c r="D407">
        <v>1776</v>
      </c>
      <c r="E407">
        <v>517</v>
      </c>
      <c r="F407">
        <v>2345</v>
      </c>
      <c r="G407">
        <v>295</v>
      </c>
      <c r="H407" s="238">
        <v>0.02</v>
      </c>
      <c r="J407" s="228">
        <v>0.02</v>
      </c>
      <c r="L407">
        <v>324</v>
      </c>
      <c r="M407">
        <v>73.27</v>
      </c>
    </row>
    <row r="408" spans="1:13">
      <c r="A408" s="216">
        <v>3484</v>
      </c>
      <c r="C408">
        <v>40</v>
      </c>
      <c r="D408">
        <v>1254</v>
      </c>
      <c r="E408">
        <v>692</v>
      </c>
      <c r="F408">
        <v>1675</v>
      </c>
      <c r="G408">
        <v>276</v>
      </c>
      <c r="H408" s="238">
        <v>0.02</v>
      </c>
      <c r="J408" s="228">
        <v>0.02</v>
      </c>
      <c r="L408">
        <v>324</v>
      </c>
      <c r="M408">
        <v>73.209999999999994</v>
      </c>
    </row>
    <row r="409" spans="1:13">
      <c r="A409" s="216">
        <v>3489</v>
      </c>
      <c r="C409">
        <v>25</v>
      </c>
      <c r="D409">
        <v>1464</v>
      </c>
      <c r="E409">
        <v>1</v>
      </c>
      <c r="F409">
        <v>1189</v>
      </c>
      <c r="G409">
        <v>389</v>
      </c>
      <c r="H409" s="238">
        <v>0.02</v>
      </c>
      <c r="J409" s="228">
        <v>0.02</v>
      </c>
      <c r="L409">
        <v>324</v>
      </c>
      <c r="M409">
        <v>73.14</v>
      </c>
    </row>
    <row r="410" spans="1:13">
      <c r="A410" s="216">
        <v>3551</v>
      </c>
      <c r="C410">
        <v>63</v>
      </c>
      <c r="D410">
        <v>828</v>
      </c>
      <c r="E410">
        <v>1703</v>
      </c>
      <c r="F410">
        <v>2685</v>
      </c>
      <c r="G410">
        <v>123</v>
      </c>
      <c r="H410" s="238">
        <v>0.02</v>
      </c>
      <c r="J410" s="228">
        <v>0.02</v>
      </c>
      <c r="L410">
        <v>324</v>
      </c>
      <c r="M410">
        <v>73.069999999999993</v>
      </c>
    </row>
    <row r="411" spans="1:13">
      <c r="A411" s="216">
        <v>4429</v>
      </c>
      <c r="C411">
        <v>20</v>
      </c>
      <c r="D411">
        <v>304</v>
      </c>
      <c r="E411">
        <v>728</v>
      </c>
      <c r="F411">
        <v>1080</v>
      </c>
      <c r="G411">
        <v>54</v>
      </c>
      <c r="H411" s="238">
        <v>0.02</v>
      </c>
      <c r="J411" s="228">
        <v>0.02</v>
      </c>
      <c r="L411">
        <v>324</v>
      </c>
      <c r="M411">
        <v>73.010000000000005</v>
      </c>
    </row>
    <row r="412" spans="1:13">
      <c r="A412" s="216">
        <v>4549</v>
      </c>
      <c r="C412">
        <v>18</v>
      </c>
      <c r="D412">
        <v>774</v>
      </c>
      <c r="E412">
        <v>421</v>
      </c>
      <c r="F412">
        <v>1188</v>
      </c>
      <c r="G412">
        <v>2</v>
      </c>
      <c r="H412" s="238">
        <v>0.02</v>
      </c>
      <c r="J412" s="228">
        <v>0.02</v>
      </c>
      <c r="L412">
        <v>324</v>
      </c>
      <c r="M412">
        <v>72.94</v>
      </c>
    </row>
    <row r="413" spans="1:13">
      <c r="A413" s="216">
        <v>5102</v>
      </c>
      <c r="C413">
        <v>17</v>
      </c>
      <c r="D413">
        <v>302</v>
      </c>
      <c r="E413">
        <v>471</v>
      </c>
      <c r="F413">
        <v>855</v>
      </c>
      <c r="G413">
        <v>270</v>
      </c>
      <c r="H413" s="238">
        <v>0.02</v>
      </c>
      <c r="J413" s="228">
        <v>0.02</v>
      </c>
      <c r="L413">
        <v>324</v>
      </c>
      <c r="M413">
        <v>72.88</v>
      </c>
    </row>
    <row r="414" spans="1:13">
      <c r="A414" s="216">
        <v>5457</v>
      </c>
      <c r="C414">
        <v>38</v>
      </c>
      <c r="D414">
        <v>704</v>
      </c>
      <c r="E414">
        <v>1022</v>
      </c>
      <c r="F414">
        <v>1881</v>
      </c>
      <c r="G414">
        <v>511</v>
      </c>
      <c r="H414" s="238">
        <v>0.02</v>
      </c>
      <c r="J414" s="228">
        <v>0.02</v>
      </c>
      <c r="L414">
        <v>324</v>
      </c>
      <c r="M414">
        <v>72.81</v>
      </c>
    </row>
    <row r="415" spans="1:13">
      <c r="A415" s="216">
        <v>6127</v>
      </c>
      <c r="C415">
        <v>31</v>
      </c>
      <c r="D415">
        <v>84</v>
      </c>
      <c r="E415">
        <v>1177</v>
      </c>
      <c r="F415">
        <v>1173</v>
      </c>
      <c r="G415">
        <v>746</v>
      </c>
      <c r="H415" s="238">
        <v>0.02</v>
      </c>
      <c r="J415" s="228">
        <v>0.02</v>
      </c>
      <c r="L415">
        <v>324</v>
      </c>
      <c r="M415">
        <v>72.75</v>
      </c>
    </row>
    <row r="416" spans="1:13">
      <c r="A416" s="216">
        <v>6174</v>
      </c>
      <c r="C416">
        <v>14</v>
      </c>
      <c r="D416">
        <v>349</v>
      </c>
      <c r="E416">
        <v>225</v>
      </c>
      <c r="F416">
        <v>579</v>
      </c>
      <c r="G416">
        <v>7</v>
      </c>
      <c r="H416" s="238">
        <v>0.02</v>
      </c>
      <c r="J416" s="228">
        <v>0.02</v>
      </c>
      <c r="L416">
        <v>324</v>
      </c>
      <c r="M416">
        <v>72.680000000000007</v>
      </c>
    </row>
    <row r="417" spans="1:13">
      <c r="A417" s="216">
        <v>6261</v>
      </c>
      <c r="C417">
        <v>111</v>
      </c>
      <c r="D417">
        <v>1427</v>
      </c>
      <c r="E417">
        <v>3833</v>
      </c>
      <c r="F417">
        <v>5867</v>
      </c>
      <c r="G417">
        <v>953</v>
      </c>
      <c r="H417" s="238">
        <v>0.02</v>
      </c>
      <c r="J417" s="228">
        <v>0.02</v>
      </c>
      <c r="L417">
        <v>324</v>
      </c>
      <c r="M417">
        <v>72.61</v>
      </c>
    </row>
    <row r="418" spans="1:13">
      <c r="A418" s="216">
        <v>6426</v>
      </c>
      <c r="C418">
        <v>12</v>
      </c>
      <c r="D418">
        <v>322</v>
      </c>
      <c r="E418">
        <v>291</v>
      </c>
      <c r="F418">
        <v>612</v>
      </c>
      <c r="G418">
        <v>25</v>
      </c>
      <c r="H418" s="238">
        <v>0.02</v>
      </c>
      <c r="J418" s="228">
        <v>0.02</v>
      </c>
      <c r="L418">
        <v>324</v>
      </c>
      <c r="M418">
        <v>72.55</v>
      </c>
    </row>
    <row r="419" spans="1:13">
      <c r="A419" s="216">
        <v>6508</v>
      </c>
      <c r="C419">
        <v>39</v>
      </c>
      <c r="D419">
        <v>1135</v>
      </c>
      <c r="E419">
        <v>767</v>
      </c>
      <c r="F419">
        <v>2045</v>
      </c>
      <c r="G419">
        <v>299</v>
      </c>
      <c r="H419" s="238">
        <v>0.02</v>
      </c>
      <c r="J419" s="228">
        <v>0.02</v>
      </c>
      <c r="L419">
        <v>324</v>
      </c>
      <c r="M419">
        <v>72.48</v>
      </c>
    </row>
    <row r="420" spans="1:13">
      <c r="A420" s="216">
        <v>8234</v>
      </c>
      <c r="C420">
        <v>44</v>
      </c>
      <c r="D420">
        <v>699</v>
      </c>
      <c r="E420">
        <v>1507</v>
      </c>
      <c r="F420">
        <v>2297</v>
      </c>
      <c r="G420">
        <v>601</v>
      </c>
      <c r="H420" s="238">
        <v>0.02</v>
      </c>
      <c r="J420" s="228">
        <v>0.02</v>
      </c>
      <c r="L420">
        <v>324</v>
      </c>
      <c r="M420">
        <v>72.42</v>
      </c>
    </row>
    <row r="421" spans="1:13">
      <c r="A421" s="216">
        <v>8929</v>
      </c>
      <c r="C421">
        <v>15</v>
      </c>
      <c r="D421">
        <v>608</v>
      </c>
      <c r="E421">
        <v>294</v>
      </c>
      <c r="F421">
        <v>878</v>
      </c>
      <c r="G421">
        <v>93</v>
      </c>
      <c r="H421" s="238">
        <v>0.02</v>
      </c>
      <c r="J421" s="228">
        <v>0.02</v>
      </c>
      <c r="L421">
        <v>324</v>
      </c>
      <c r="M421">
        <v>72.349999999999994</v>
      </c>
    </row>
    <row r="422" spans="1:13">
      <c r="A422" s="216">
        <v>2227</v>
      </c>
      <c r="C422">
        <v>234</v>
      </c>
      <c r="D422">
        <v>5898</v>
      </c>
      <c r="E422">
        <v>1859</v>
      </c>
      <c r="F422">
        <v>21443</v>
      </c>
      <c r="G422">
        <v>3630</v>
      </c>
      <c r="H422" s="238">
        <v>0.03</v>
      </c>
      <c r="J422" s="228">
        <v>0.01</v>
      </c>
      <c r="L422">
        <v>344</v>
      </c>
      <c r="M422">
        <v>72.28</v>
      </c>
    </row>
    <row r="423" spans="1:13">
      <c r="A423" s="216">
        <v>2530</v>
      </c>
      <c r="C423">
        <v>84</v>
      </c>
      <c r="D423">
        <v>2596</v>
      </c>
      <c r="E423">
        <v>66</v>
      </c>
      <c r="F423">
        <v>3019</v>
      </c>
      <c r="G423">
        <v>3253</v>
      </c>
      <c r="H423" s="238">
        <v>0.03</v>
      </c>
      <c r="J423" s="228">
        <v>0.01</v>
      </c>
      <c r="L423">
        <v>344</v>
      </c>
      <c r="M423">
        <v>72.22</v>
      </c>
    </row>
    <row r="424" spans="1:13">
      <c r="A424" s="216">
        <v>2637</v>
      </c>
      <c r="C424">
        <v>859</v>
      </c>
      <c r="D424">
        <v>0</v>
      </c>
      <c r="E424">
        <v>76644</v>
      </c>
      <c r="F424">
        <v>29055</v>
      </c>
      <c r="G424">
        <v>6894</v>
      </c>
      <c r="H424" s="238">
        <v>0.01</v>
      </c>
      <c r="J424" s="228">
        <v>0.02</v>
      </c>
      <c r="L424">
        <v>374</v>
      </c>
      <c r="M424">
        <v>72.150000000000006</v>
      </c>
    </row>
    <row r="425" spans="1:13">
      <c r="A425" s="216">
        <v>4541</v>
      </c>
      <c r="C425">
        <v>28</v>
      </c>
      <c r="D425">
        <v>271</v>
      </c>
      <c r="E425">
        <v>2039</v>
      </c>
      <c r="F425">
        <v>1369</v>
      </c>
      <c r="G425">
        <v>245</v>
      </c>
      <c r="H425" s="238">
        <v>0.01</v>
      </c>
      <c r="J425" s="228">
        <v>0.02</v>
      </c>
      <c r="L425">
        <v>374</v>
      </c>
      <c r="M425">
        <v>72.09</v>
      </c>
    </row>
    <row r="426" spans="1:13">
      <c r="A426" s="216">
        <v>5604</v>
      </c>
      <c r="C426">
        <v>34</v>
      </c>
      <c r="D426">
        <v>140</v>
      </c>
      <c r="E426">
        <v>3327</v>
      </c>
      <c r="F426">
        <v>2152</v>
      </c>
      <c r="G426">
        <v>15</v>
      </c>
      <c r="H426" s="238">
        <v>0.01</v>
      </c>
      <c r="J426" s="228">
        <v>0.02</v>
      </c>
      <c r="L426">
        <v>374</v>
      </c>
      <c r="M426">
        <v>72.02</v>
      </c>
    </row>
    <row r="427" spans="1:13">
      <c r="A427" s="216">
        <v>1308</v>
      </c>
      <c r="C427">
        <v>84</v>
      </c>
      <c r="D427">
        <v>1306</v>
      </c>
      <c r="E427">
        <v>3344</v>
      </c>
      <c r="F427">
        <v>8663</v>
      </c>
      <c r="G427">
        <v>350</v>
      </c>
      <c r="H427" s="238">
        <v>0.02</v>
      </c>
      <c r="J427" s="228">
        <v>0.01</v>
      </c>
      <c r="L427">
        <v>388</v>
      </c>
      <c r="M427">
        <v>71.959999999999994</v>
      </c>
    </row>
    <row r="428" spans="1:13">
      <c r="A428" s="216">
        <v>1310</v>
      </c>
      <c r="C428">
        <v>119</v>
      </c>
      <c r="D428">
        <v>907</v>
      </c>
      <c r="E428">
        <v>4626</v>
      </c>
      <c r="F428">
        <v>6325</v>
      </c>
      <c r="G428">
        <v>1716</v>
      </c>
      <c r="H428" s="238">
        <v>0.02</v>
      </c>
      <c r="J428" s="228">
        <v>0.01</v>
      </c>
      <c r="L428">
        <v>388</v>
      </c>
      <c r="M428">
        <v>71.89</v>
      </c>
    </row>
    <row r="429" spans="1:13">
      <c r="A429" s="216">
        <v>1234</v>
      </c>
      <c r="C429">
        <v>204</v>
      </c>
      <c r="D429">
        <v>5611</v>
      </c>
      <c r="E429">
        <v>5614</v>
      </c>
      <c r="F429">
        <v>17442</v>
      </c>
      <c r="G429">
        <v>345</v>
      </c>
      <c r="H429" s="238">
        <v>0.02</v>
      </c>
      <c r="J429" s="228">
        <v>0.01</v>
      </c>
      <c r="L429">
        <v>388</v>
      </c>
      <c r="M429">
        <v>71.819999999999993</v>
      </c>
    </row>
    <row r="430" spans="1:13">
      <c r="A430" s="216">
        <v>1301</v>
      </c>
      <c r="C430">
        <v>3099</v>
      </c>
      <c r="D430">
        <v>86226</v>
      </c>
      <c r="E430">
        <v>81587</v>
      </c>
      <c r="F430">
        <v>272307</v>
      </c>
      <c r="G430">
        <v>36513</v>
      </c>
      <c r="H430" s="238">
        <v>0.02</v>
      </c>
      <c r="J430" s="228">
        <v>0.01</v>
      </c>
      <c r="L430">
        <v>388</v>
      </c>
      <c r="M430">
        <v>71.760000000000005</v>
      </c>
    </row>
    <row r="431" spans="1:13">
      <c r="A431" s="216">
        <v>1101</v>
      </c>
      <c r="C431">
        <v>2480</v>
      </c>
      <c r="D431">
        <v>16104</v>
      </c>
      <c r="E431">
        <v>116584</v>
      </c>
      <c r="F431">
        <v>157639</v>
      </c>
      <c r="G431">
        <v>50824</v>
      </c>
      <c r="H431" s="238">
        <v>0.02</v>
      </c>
      <c r="J431" s="228">
        <v>0.01</v>
      </c>
      <c r="L431">
        <v>388</v>
      </c>
      <c r="M431">
        <v>71.69</v>
      </c>
    </row>
    <row r="432" spans="1:13">
      <c r="A432" s="216">
        <v>1102</v>
      </c>
      <c r="C432">
        <v>1212</v>
      </c>
      <c r="D432">
        <v>0</v>
      </c>
      <c r="E432">
        <v>68587</v>
      </c>
      <c r="F432">
        <v>160453</v>
      </c>
      <c r="G432">
        <v>59340</v>
      </c>
      <c r="H432" s="238">
        <v>0.02</v>
      </c>
      <c r="J432" s="228">
        <v>0.01</v>
      </c>
      <c r="L432">
        <v>388</v>
      </c>
      <c r="M432">
        <v>71.63</v>
      </c>
    </row>
    <row r="433" spans="1:13">
      <c r="A433" s="216">
        <v>1218</v>
      </c>
      <c r="C433">
        <v>60</v>
      </c>
      <c r="D433">
        <v>596</v>
      </c>
      <c r="E433">
        <v>2056</v>
      </c>
      <c r="F433">
        <v>3415</v>
      </c>
      <c r="G433">
        <v>1185</v>
      </c>
      <c r="H433" s="238">
        <v>0.02</v>
      </c>
      <c r="J433" s="228">
        <v>0.01</v>
      </c>
      <c r="L433">
        <v>388</v>
      </c>
      <c r="M433">
        <v>71.56</v>
      </c>
    </row>
    <row r="434" spans="1:13">
      <c r="A434" s="216">
        <v>1337</v>
      </c>
      <c r="C434">
        <v>143</v>
      </c>
      <c r="D434">
        <v>2520</v>
      </c>
      <c r="E434">
        <v>6381</v>
      </c>
      <c r="F434">
        <v>10497</v>
      </c>
      <c r="G434">
        <v>741</v>
      </c>
      <c r="H434" s="238">
        <v>0.02</v>
      </c>
      <c r="J434" s="228">
        <v>0.01</v>
      </c>
      <c r="L434">
        <v>388</v>
      </c>
      <c r="M434">
        <v>71.489999999999995</v>
      </c>
    </row>
    <row r="435" spans="1:13">
      <c r="A435" s="216">
        <v>1434</v>
      </c>
      <c r="C435">
        <v>641</v>
      </c>
      <c r="D435">
        <v>10817</v>
      </c>
      <c r="E435">
        <v>17233</v>
      </c>
      <c r="F435">
        <v>55155</v>
      </c>
      <c r="G435">
        <v>5290</v>
      </c>
      <c r="H435" s="238">
        <v>0.02</v>
      </c>
      <c r="J435" s="228">
        <v>0.01</v>
      </c>
      <c r="L435">
        <v>388</v>
      </c>
      <c r="M435">
        <v>71.430000000000007</v>
      </c>
    </row>
    <row r="436" spans="1:13">
      <c r="A436" s="216">
        <v>1460</v>
      </c>
      <c r="C436">
        <v>98</v>
      </c>
      <c r="D436">
        <v>2093</v>
      </c>
      <c r="E436">
        <v>3347</v>
      </c>
      <c r="F436">
        <v>4693</v>
      </c>
      <c r="G436">
        <v>1922</v>
      </c>
      <c r="H436" s="238">
        <v>0.02</v>
      </c>
      <c r="J436" s="228">
        <v>0.01</v>
      </c>
      <c r="L436">
        <v>388</v>
      </c>
      <c r="M436">
        <v>71.36</v>
      </c>
    </row>
    <row r="437" spans="1:13">
      <c r="A437" s="216">
        <v>1464</v>
      </c>
      <c r="C437">
        <v>74</v>
      </c>
      <c r="D437">
        <v>738</v>
      </c>
      <c r="E437">
        <v>2743</v>
      </c>
      <c r="F437">
        <v>4079</v>
      </c>
      <c r="G437">
        <v>2282</v>
      </c>
      <c r="H437" s="238">
        <v>0.02</v>
      </c>
      <c r="J437" s="228">
        <v>0.01</v>
      </c>
      <c r="L437">
        <v>388</v>
      </c>
      <c r="M437">
        <v>71.3</v>
      </c>
    </row>
    <row r="438" spans="1:13">
      <c r="A438" s="216">
        <v>1503</v>
      </c>
      <c r="C438">
        <v>191</v>
      </c>
      <c r="D438">
        <v>3549</v>
      </c>
      <c r="E438">
        <v>5885</v>
      </c>
      <c r="F438">
        <v>21695</v>
      </c>
      <c r="G438">
        <v>3220</v>
      </c>
      <c r="H438" s="238">
        <v>0.02</v>
      </c>
      <c r="J438" s="228">
        <v>0.01</v>
      </c>
      <c r="L438">
        <v>388</v>
      </c>
      <c r="M438">
        <v>71.23</v>
      </c>
    </row>
    <row r="439" spans="1:13">
      <c r="A439" s="216">
        <v>1535</v>
      </c>
      <c r="C439">
        <v>58</v>
      </c>
      <c r="D439">
        <v>2171</v>
      </c>
      <c r="E439">
        <v>173</v>
      </c>
      <c r="F439">
        <v>3434</v>
      </c>
      <c r="G439">
        <v>550</v>
      </c>
      <c r="H439" s="238">
        <v>0.02</v>
      </c>
      <c r="J439" s="228">
        <v>0.01</v>
      </c>
      <c r="L439">
        <v>388</v>
      </c>
      <c r="M439">
        <v>71.17</v>
      </c>
    </row>
    <row r="440" spans="1:13">
      <c r="A440" s="216">
        <v>1721</v>
      </c>
      <c r="C440">
        <v>15</v>
      </c>
      <c r="D440">
        <v>345</v>
      </c>
      <c r="E440">
        <v>500</v>
      </c>
      <c r="F440">
        <v>803</v>
      </c>
      <c r="G440">
        <v>201</v>
      </c>
      <c r="H440" s="238">
        <v>0.02</v>
      </c>
      <c r="J440" s="228">
        <v>0.01</v>
      </c>
      <c r="L440">
        <v>388</v>
      </c>
      <c r="M440">
        <v>71.099999999999994</v>
      </c>
    </row>
    <row r="441" spans="1:13">
      <c r="A441" s="216">
        <v>1725</v>
      </c>
      <c r="C441">
        <v>42</v>
      </c>
      <c r="D441">
        <v>1735</v>
      </c>
      <c r="E441">
        <v>575</v>
      </c>
      <c r="F441">
        <v>2420</v>
      </c>
      <c r="G441">
        <v>1159</v>
      </c>
      <c r="H441" s="238">
        <v>0.02</v>
      </c>
      <c r="J441" s="228">
        <v>0.01</v>
      </c>
      <c r="L441">
        <v>388</v>
      </c>
      <c r="M441">
        <v>71.03</v>
      </c>
    </row>
    <row r="442" spans="1:13">
      <c r="A442" s="216">
        <v>1735</v>
      </c>
      <c r="C442">
        <v>33</v>
      </c>
      <c r="D442">
        <v>668</v>
      </c>
      <c r="E442">
        <v>809</v>
      </c>
      <c r="F442">
        <v>1439</v>
      </c>
      <c r="G442">
        <v>914</v>
      </c>
      <c r="H442" s="238">
        <v>0.02</v>
      </c>
      <c r="J442" s="228">
        <v>0.01</v>
      </c>
      <c r="L442">
        <v>388</v>
      </c>
      <c r="M442">
        <v>70.97</v>
      </c>
    </row>
    <row r="443" spans="1:13">
      <c r="A443" s="216">
        <v>1736</v>
      </c>
      <c r="C443">
        <v>156</v>
      </c>
      <c r="D443">
        <v>4980</v>
      </c>
      <c r="E443">
        <v>2074</v>
      </c>
      <c r="F443">
        <v>8640</v>
      </c>
      <c r="G443">
        <v>5335</v>
      </c>
      <c r="H443" s="238">
        <v>0.02</v>
      </c>
      <c r="J443" s="228">
        <v>0.01</v>
      </c>
      <c r="L443">
        <v>388</v>
      </c>
      <c r="M443">
        <v>70.900000000000006</v>
      </c>
    </row>
    <row r="444" spans="1:13">
      <c r="A444" s="216">
        <v>2012</v>
      </c>
      <c r="C444">
        <v>69</v>
      </c>
      <c r="D444">
        <v>1097</v>
      </c>
      <c r="E444">
        <v>3431</v>
      </c>
      <c r="F444">
        <v>4071</v>
      </c>
      <c r="G444">
        <v>4126</v>
      </c>
      <c r="H444" s="238">
        <v>0.02</v>
      </c>
      <c r="J444" s="228">
        <v>0.01</v>
      </c>
      <c r="L444">
        <v>388</v>
      </c>
      <c r="M444">
        <v>70.84</v>
      </c>
    </row>
    <row r="445" spans="1:13">
      <c r="A445" s="216">
        <v>2204</v>
      </c>
      <c r="C445">
        <v>381</v>
      </c>
      <c r="D445">
        <v>14535</v>
      </c>
      <c r="E445">
        <v>6600</v>
      </c>
      <c r="F445">
        <v>52475</v>
      </c>
      <c r="G445">
        <v>817</v>
      </c>
      <c r="H445" s="238">
        <v>0.02</v>
      </c>
      <c r="J445" s="228">
        <v>0.01</v>
      </c>
      <c r="L445">
        <v>388</v>
      </c>
      <c r="M445">
        <v>70.77</v>
      </c>
    </row>
    <row r="446" spans="1:13">
      <c r="A446" s="216">
        <v>2302</v>
      </c>
      <c r="C446">
        <v>12</v>
      </c>
      <c r="D446">
        <v>315</v>
      </c>
      <c r="E446">
        <v>476</v>
      </c>
      <c r="F446">
        <v>1727</v>
      </c>
      <c r="G446">
        <v>111</v>
      </c>
      <c r="H446" s="238">
        <v>0.02</v>
      </c>
      <c r="J446" s="228">
        <v>0.01</v>
      </c>
      <c r="L446">
        <v>388</v>
      </c>
      <c r="M446">
        <v>70.7</v>
      </c>
    </row>
    <row r="447" spans="1:13">
      <c r="A447" s="216">
        <v>2409</v>
      </c>
      <c r="C447">
        <v>3867</v>
      </c>
      <c r="D447">
        <v>23750</v>
      </c>
      <c r="E447">
        <v>216670</v>
      </c>
      <c r="F447">
        <v>214107</v>
      </c>
      <c r="G447">
        <v>51093</v>
      </c>
      <c r="H447" s="238">
        <v>0.02</v>
      </c>
      <c r="J447" s="228">
        <v>0.01</v>
      </c>
      <c r="L447">
        <v>388</v>
      </c>
      <c r="M447">
        <v>70.64</v>
      </c>
    </row>
    <row r="448" spans="1:13">
      <c r="A448" s="216">
        <v>2462</v>
      </c>
      <c r="C448">
        <v>30</v>
      </c>
      <c r="D448">
        <v>1271</v>
      </c>
      <c r="E448">
        <v>365</v>
      </c>
      <c r="F448">
        <v>2148</v>
      </c>
      <c r="G448">
        <v>658</v>
      </c>
      <c r="H448" s="238">
        <v>0.02</v>
      </c>
      <c r="J448" s="228">
        <v>0.01</v>
      </c>
      <c r="L448">
        <v>388</v>
      </c>
      <c r="M448">
        <v>70.569999999999993</v>
      </c>
    </row>
    <row r="449" spans="1:13">
      <c r="A449" s="216">
        <v>2542</v>
      </c>
      <c r="C449">
        <v>646</v>
      </c>
      <c r="D449">
        <v>29905</v>
      </c>
      <c r="E449">
        <v>927</v>
      </c>
      <c r="F449">
        <v>33540</v>
      </c>
      <c r="G449">
        <v>53491</v>
      </c>
      <c r="H449" s="238">
        <v>0.02</v>
      </c>
      <c r="J449" s="228">
        <v>0.01</v>
      </c>
      <c r="L449">
        <v>388</v>
      </c>
      <c r="M449">
        <v>70.510000000000005</v>
      </c>
    </row>
    <row r="450" spans="1:13">
      <c r="A450" s="216">
        <v>2548</v>
      </c>
      <c r="C450">
        <v>343</v>
      </c>
      <c r="D450">
        <v>14822</v>
      </c>
      <c r="E450">
        <v>23</v>
      </c>
      <c r="F450">
        <v>14096</v>
      </c>
      <c r="G450">
        <v>14295</v>
      </c>
      <c r="H450" s="238">
        <v>0.02</v>
      </c>
      <c r="J450" s="228">
        <v>0.01</v>
      </c>
      <c r="L450">
        <v>388</v>
      </c>
      <c r="M450">
        <v>70.44</v>
      </c>
    </row>
    <row r="451" spans="1:13">
      <c r="A451" s="216">
        <v>2910</v>
      </c>
      <c r="C451">
        <v>27</v>
      </c>
      <c r="D451">
        <v>0</v>
      </c>
      <c r="E451">
        <v>1392</v>
      </c>
      <c r="F451">
        <v>2188</v>
      </c>
      <c r="G451">
        <v>1731</v>
      </c>
      <c r="H451" s="238">
        <v>0.02</v>
      </c>
      <c r="J451" s="228">
        <v>0.01</v>
      </c>
      <c r="L451">
        <v>388</v>
      </c>
      <c r="M451">
        <v>70.38</v>
      </c>
    </row>
    <row r="452" spans="1:13">
      <c r="A452" s="216">
        <v>3052</v>
      </c>
      <c r="C452">
        <v>46</v>
      </c>
      <c r="D452">
        <v>2080</v>
      </c>
      <c r="E452">
        <v>201</v>
      </c>
      <c r="F452">
        <v>3035</v>
      </c>
      <c r="G452">
        <v>3516</v>
      </c>
      <c r="H452" s="238">
        <v>0.02</v>
      </c>
      <c r="J452" s="228">
        <v>0.01</v>
      </c>
      <c r="L452">
        <v>388</v>
      </c>
      <c r="M452">
        <v>70.31</v>
      </c>
    </row>
    <row r="453" spans="1:13">
      <c r="A453" s="216">
        <v>3231</v>
      </c>
      <c r="C453">
        <v>1319</v>
      </c>
      <c r="D453">
        <v>30599</v>
      </c>
      <c r="E453">
        <v>38752</v>
      </c>
      <c r="F453">
        <v>68951</v>
      </c>
      <c r="G453">
        <v>62265</v>
      </c>
      <c r="H453" s="238">
        <v>0.02</v>
      </c>
      <c r="J453" s="228">
        <v>0.01</v>
      </c>
      <c r="L453">
        <v>388</v>
      </c>
      <c r="M453">
        <v>70.239999999999995</v>
      </c>
    </row>
    <row r="454" spans="1:13">
      <c r="A454" s="216">
        <v>3315</v>
      </c>
      <c r="C454">
        <v>28</v>
      </c>
      <c r="D454">
        <v>1494</v>
      </c>
      <c r="E454">
        <v>15</v>
      </c>
      <c r="F454">
        <v>1610</v>
      </c>
      <c r="G454">
        <v>2199</v>
      </c>
      <c r="H454" s="238">
        <v>0.02</v>
      </c>
      <c r="J454" s="228">
        <v>0.01</v>
      </c>
      <c r="L454">
        <v>388</v>
      </c>
      <c r="M454">
        <v>70.180000000000007</v>
      </c>
    </row>
    <row r="455" spans="1:13">
      <c r="A455" s="216">
        <v>4104</v>
      </c>
      <c r="C455">
        <v>81</v>
      </c>
      <c r="D455">
        <v>4169</v>
      </c>
      <c r="E455">
        <v>358</v>
      </c>
      <c r="F455">
        <v>7972</v>
      </c>
      <c r="G455">
        <v>966</v>
      </c>
      <c r="H455" s="238">
        <v>0.02</v>
      </c>
      <c r="J455" s="228">
        <v>0.01</v>
      </c>
      <c r="L455">
        <v>388</v>
      </c>
      <c r="M455">
        <v>70.11</v>
      </c>
    </row>
    <row r="456" spans="1:13">
      <c r="A456" s="216">
        <v>4916</v>
      </c>
      <c r="C456">
        <v>15</v>
      </c>
      <c r="D456">
        <v>566</v>
      </c>
      <c r="E456">
        <v>341</v>
      </c>
      <c r="F456">
        <v>1086</v>
      </c>
      <c r="G456">
        <v>224</v>
      </c>
      <c r="H456" s="238">
        <v>0.02</v>
      </c>
      <c r="J456" s="228">
        <v>0.01</v>
      </c>
      <c r="L456">
        <v>388</v>
      </c>
      <c r="M456">
        <v>70.05</v>
      </c>
    </row>
    <row r="457" spans="1:13">
      <c r="A457" s="216">
        <v>6108</v>
      </c>
      <c r="C457">
        <v>97</v>
      </c>
      <c r="D457">
        <v>1058</v>
      </c>
      <c r="E457">
        <v>4312</v>
      </c>
      <c r="F457">
        <v>3430</v>
      </c>
      <c r="G457">
        <v>4464</v>
      </c>
      <c r="H457" s="238">
        <v>0.02</v>
      </c>
      <c r="J457" s="228">
        <v>0.01</v>
      </c>
      <c r="L457">
        <v>388</v>
      </c>
      <c r="M457">
        <v>69.98</v>
      </c>
    </row>
    <row r="458" spans="1:13">
      <c r="A458" s="216">
        <v>6443</v>
      </c>
      <c r="C458">
        <v>87</v>
      </c>
      <c r="D458">
        <v>0</v>
      </c>
      <c r="E458">
        <v>4892</v>
      </c>
      <c r="F458">
        <v>3564</v>
      </c>
      <c r="G458">
        <v>2591</v>
      </c>
      <c r="H458" s="238">
        <v>0.02</v>
      </c>
      <c r="J458" s="228">
        <v>0.01</v>
      </c>
      <c r="L458">
        <v>388</v>
      </c>
      <c r="M458">
        <v>69.91</v>
      </c>
    </row>
    <row r="459" spans="1:13">
      <c r="A459" s="216">
        <v>9934</v>
      </c>
      <c r="C459">
        <v>131</v>
      </c>
      <c r="D459">
        <v>4633</v>
      </c>
      <c r="E459">
        <v>2136</v>
      </c>
      <c r="F459">
        <v>7467</v>
      </c>
      <c r="G459">
        <v>1645</v>
      </c>
      <c r="H459" s="238">
        <v>0.02</v>
      </c>
      <c r="J459" s="228">
        <v>0.01</v>
      </c>
      <c r="L459">
        <v>388</v>
      </c>
      <c r="M459">
        <v>69.849999999999994</v>
      </c>
    </row>
    <row r="460" spans="1:13">
      <c r="A460" s="216">
        <v>9937</v>
      </c>
      <c r="C460">
        <v>64</v>
      </c>
      <c r="D460">
        <v>0</v>
      </c>
      <c r="E460">
        <v>3877</v>
      </c>
      <c r="F460">
        <v>4274</v>
      </c>
      <c r="G460">
        <v>1520</v>
      </c>
      <c r="H460" s="238">
        <v>0.02</v>
      </c>
      <c r="J460" s="228">
        <v>0.01</v>
      </c>
      <c r="L460">
        <v>388</v>
      </c>
      <c r="M460">
        <v>69.78</v>
      </c>
    </row>
    <row r="461" spans="1:13">
      <c r="A461" s="216">
        <v>1785</v>
      </c>
      <c r="C461">
        <v>199</v>
      </c>
      <c r="D461">
        <v>0</v>
      </c>
      <c r="E461">
        <v>8849</v>
      </c>
      <c r="F461">
        <v>9430</v>
      </c>
      <c r="G461">
        <v>8276</v>
      </c>
      <c r="H461" s="238">
        <v>0.02</v>
      </c>
      <c r="J461" s="228">
        <v>0.01</v>
      </c>
      <c r="L461">
        <v>388</v>
      </c>
      <c r="M461">
        <v>69.72</v>
      </c>
    </row>
    <row r="462" spans="1:13">
      <c r="A462" s="216">
        <v>4127</v>
      </c>
      <c r="C462">
        <v>13</v>
      </c>
      <c r="D462">
        <v>72</v>
      </c>
      <c r="E462">
        <v>759</v>
      </c>
      <c r="F462">
        <v>835</v>
      </c>
      <c r="G462">
        <v>191</v>
      </c>
      <c r="H462" s="238">
        <v>0.02</v>
      </c>
      <c r="J462" s="228">
        <v>0.01</v>
      </c>
      <c r="L462">
        <v>388</v>
      </c>
      <c r="M462">
        <v>69.650000000000006</v>
      </c>
    </row>
    <row r="463" spans="1:13">
      <c r="A463" s="216">
        <v>4173</v>
      </c>
      <c r="C463">
        <v>17</v>
      </c>
      <c r="D463">
        <v>816</v>
      </c>
      <c r="E463">
        <v>38</v>
      </c>
      <c r="F463">
        <v>1063</v>
      </c>
      <c r="G463">
        <v>950</v>
      </c>
      <c r="H463" s="238">
        <v>0.02</v>
      </c>
      <c r="J463" s="228">
        <v>0.01</v>
      </c>
      <c r="L463">
        <v>388</v>
      </c>
      <c r="M463">
        <v>69.59</v>
      </c>
    </row>
    <row r="464" spans="1:13">
      <c r="A464" s="216">
        <v>5321</v>
      </c>
      <c r="C464">
        <v>3</v>
      </c>
      <c r="D464">
        <v>43</v>
      </c>
      <c r="E464">
        <v>132</v>
      </c>
      <c r="F464">
        <v>320</v>
      </c>
      <c r="G464">
        <v>112</v>
      </c>
      <c r="H464" s="238">
        <v>0.02</v>
      </c>
      <c r="J464" s="228">
        <v>0.01</v>
      </c>
      <c r="L464">
        <v>388</v>
      </c>
      <c r="M464">
        <v>69.52</v>
      </c>
    </row>
    <row r="465" spans="1:13">
      <c r="A465" s="216">
        <v>5395</v>
      </c>
      <c r="C465">
        <v>42</v>
      </c>
      <c r="D465">
        <v>0</v>
      </c>
      <c r="E465">
        <v>2498</v>
      </c>
      <c r="F465">
        <v>2608</v>
      </c>
      <c r="G465">
        <v>2614</v>
      </c>
      <c r="H465" s="238">
        <v>0.02</v>
      </c>
      <c r="J465" s="228">
        <v>0.01</v>
      </c>
      <c r="L465">
        <v>388</v>
      </c>
      <c r="M465">
        <v>69.45</v>
      </c>
    </row>
    <row r="466" spans="1:13">
      <c r="A466" s="216">
        <v>5480</v>
      </c>
      <c r="C466">
        <v>77</v>
      </c>
      <c r="D466">
        <v>1048</v>
      </c>
      <c r="E466">
        <v>3675</v>
      </c>
      <c r="F466">
        <v>4223</v>
      </c>
      <c r="G466">
        <v>1835</v>
      </c>
      <c r="H466" s="238">
        <v>0.02</v>
      </c>
      <c r="J466" s="228">
        <v>0.01</v>
      </c>
      <c r="L466">
        <v>388</v>
      </c>
      <c r="M466">
        <v>69.39</v>
      </c>
    </row>
    <row r="467" spans="1:13">
      <c r="A467" s="216">
        <v>1305</v>
      </c>
      <c r="C467">
        <v>64</v>
      </c>
      <c r="D467">
        <v>3175</v>
      </c>
      <c r="E467">
        <v>5042</v>
      </c>
      <c r="F467">
        <v>6507</v>
      </c>
      <c r="G467">
        <v>1338</v>
      </c>
      <c r="H467" s="238">
        <v>0.01</v>
      </c>
      <c r="J467" s="228">
        <v>0.01</v>
      </c>
      <c r="L467">
        <v>438</v>
      </c>
      <c r="M467">
        <v>69.319999999999993</v>
      </c>
    </row>
    <row r="468" spans="1:13">
      <c r="A468" s="216">
        <v>1326</v>
      </c>
      <c r="C468">
        <v>3240</v>
      </c>
      <c r="D468">
        <v>116779</v>
      </c>
      <c r="E468">
        <v>145890</v>
      </c>
      <c r="F468">
        <v>315945</v>
      </c>
      <c r="G468">
        <v>60397</v>
      </c>
      <c r="H468" s="238">
        <v>0.01</v>
      </c>
      <c r="J468" s="228">
        <v>0.01</v>
      </c>
      <c r="L468">
        <v>438</v>
      </c>
      <c r="M468">
        <v>69.260000000000005</v>
      </c>
    </row>
    <row r="469" spans="1:13">
      <c r="A469" s="216">
        <v>1303</v>
      </c>
      <c r="C469">
        <v>3107</v>
      </c>
      <c r="D469">
        <v>132750</v>
      </c>
      <c r="E469">
        <v>139266</v>
      </c>
      <c r="F469">
        <v>327865</v>
      </c>
      <c r="G469">
        <v>48941</v>
      </c>
      <c r="H469" s="238">
        <v>0.01</v>
      </c>
      <c r="J469" s="228">
        <v>0.01</v>
      </c>
      <c r="L469">
        <v>438</v>
      </c>
      <c r="M469">
        <v>69.19</v>
      </c>
    </row>
    <row r="470" spans="1:13">
      <c r="A470" s="216">
        <v>1219</v>
      </c>
      <c r="C470">
        <v>31</v>
      </c>
      <c r="D470">
        <v>1843</v>
      </c>
      <c r="E470">
        <v>2943</v>
      </c>
      <c r="F470">
        <v>3911</v>
      </c>
      <c r="G470">
        <v>1158</v>
      </c>
      <c r="H470" s="238">
        <v>0.01</v>
      </c>
      <c r="J470" s="228">
        <v>0.01</v>
      </c>
      <c r="L470">
        <v>438</v>
      </c>
      <c r="M470">
        <v>69.12</v>
      </c>
    </row>
    <row r="471" spans="1:13">
      <c r="A471" s="216">
        <v>1440</v>
      </c>
      <c r="C471">
        <v>205</v>
      </c>
      <c r="D471">
        <v>440</v>
      </c>
      <c r="E471">
        <v>18036</v>
      </c>
      <c r="F471">
        <v>25879</v>
      </c>
      <c r="G471">
        <v>4226</v>
      </c>
      <c r="H471" s="238">
        <v>0.01</v>
      </c>
      <c r="J471" s="228">
        <v>0.01</v>
      </c>
      <c r="L471">
        <v>438</v>
      </c>
      <c r="M471">
        <v>69.06</v>
      </c>
    </row>
    <row r="472" spans="1:13">
      <c r="A472" s="216">
        <v>1442</v>
      </c>
      <c r="C472">
        <v>97</v>
      </c>
      <c r="D472">
        <v>8908</v>
      </c>
      <c r="E472">
        <v>27</v>
      </c>
      <c r="F472">
        <v>4805</v>
      </c>
      <c r="G472">
        <v>2932</v>
      </c>
      <c r="H472" s="238">
        <v>0.01</v>
      </c>
      <c r="J472" s="228">
        <v>0.01</v>
      </c>
      <c r="L472">
        <v>438</v>
      </c>
      <c r="M472">
        <v>68.989999999999995</v>
      </c>
    </row>
    <row r="473" spans="1:13">
      <c r="A473" s="216">
        <v>1454</v>
      </c>
      <c r="C473">
        <v>13</v>
      </c>
      <c r="D473">
        <v>846</v>
      </c>
      <c r="E473">
        <v>870</v>
      </c>
      <c r="F473">
        <v>1699</v>
      </c>
      <c r="G473">
        <v>125</v>
      </c>
      <c r="H473" s="238">
        <v>0.01</v>
      </c>
      <c r="J473" s="228">
        <v>0.01</v>
      </c>
      <c r="L473">
        <v>438</v>
      </c>
      <c r="M473">
        <v>68.930000000000007</v>
      </c>
    </row>
    <row r="474" spans="1:13">
      <c r="A474" s="216">
        <v>1459</v>
      </c>
      <c r="C474">
        <v>34</v>
      </c>
      <c r="D474">
        <v>456</v>
      </c>
      <c r="E474">
        <v>3089</v>
      </c>
      <c r="F474">
        <v>3500</v>
      </c>
      <c r="G474">
        <v>2058</v>
      </c>
      <c r="H474" s="238">
        <v>0.01</v>
      </c>
      <c r="J474" s="228">
        <v>0.01</v>
      </c>
      <c r="L474">
        <v>438</v>
      </c>
      <c r="M474">
        <v>68.86</v>
      </c>
    </row>
    <row r="475" spans="1:13">
      <c r="A475" s="216">
        <v>1465</v>
      </c>
      <c r="C475">
        <v>29</v>
      </c>
      <c r="D475">
        <v>1644</v>
      </c>
      <c r="E475">
        <v>674</v>
      </c>
      <c r="F475">
        <v>2407</v>
      </c>
      <c r="G475">
        <v>66</v>
      </c>
      <c r="H475" s="238">
        <v>0.01</v>
      </c>
      <c r="J475" s="228">
        <v>0.01</v>
      </c>
      <c r="L475">
        <v>438</v>
      </c>
      <c r="M475">
        <v>68.8</v>
      </c>
    </row>
    <row r="476" spans="1:13">
      <c r="A476" s="216">
        <v>1519</v>
      </c>
      <c r="C476">
        <v>39</v>
      </c>
      <c r="D476">
        <v>1927</v>
      </c>
      <c r="E476">
        <v>1455</v>
      </c>
      <c r="F476">
        <v>3125</v>
      </c>
      <c r="G476">
        <v>639</v>
      </c>
      <c r="H476" s="238">
        <v>0.01</v>
      </c>
      <c r="J476" s="228">
        <v>0.01</v>
      </c>
      <c r="L476">
        <v>438</v>
      </c>
      <c r="M476">
        <v>68.73</v>
      </c>
    </row>
    <row r="477" spans="1:13">
      <c r="A477" s="216">
        <v>1604</v>
      </c>
      <c r="C477">
        <v>41</v>
      </c>
      <c r="D477">
        <v>1469</v>
      </c>
      <c r="E477">
        <v>4249</v>
      </c>
      <c r="F477">
        <v>7746</v>
      </c>
      <c r="G477">
        <v>260</v>
      </c>
      <c r="H477" s="238">
        <v>0.01</v>
      </c>
      <c r="J477" s="228">
        <v>0.01</v>
      </c>
      <c r="L477">
        <v>438</v>
      </c>
      <c r="M477">
        <v>68.66</v>
      </c>
    </row>
    <row r="478" spans="1:13">
      <c r="A478" s="216">
        <v>1605</v>
      </c>
      <c r="C478">
        <v>544</v>
      </c>
      <c r="D478">
        <v>34258</v>
      </c>
      <c r="E478">
        <v>18003</v>
      </c>
      <c r="F478">
        <v>63861</v>
      </c>
      <c r="G478">
        <v>7290</v>
      </c>
      <c r="H478" s="238">
        <v>0.01</v>
      </c>
      <c r="J478" s="228">
        <v>0.01</v>
      </c>
      <c r="L478">
        <v>438</v>
      </c>
      <c r="M478">
        <v>68.599999999999994</v>
      </c>
    </row>
    <row r="479" spans="1:13">
      <c r="A479" s="216">
        <v>1701</v>
      </c>
      <c r="C479">
        <v>43</v>
      </c>
      <c r="D479">
        <v>1814</v>
      </c>
      <c r="E479">
        <v>4283</v>
      </c>
      <c r="F479">
        <v>5481</v>
      </c>
      <c r="G479">
        <v>1278</v>
      </c>
      <c r="H479" s="238">
        <v>0.01</v>
      </c>
      <c r="J479" s="228">
        <v>0.01</v>
      </c>
      <c r="L479">
        <v>438</v>
      </c>
      <c r="M479">
        <v>68.53</v>
      </c>
    </row>
    <row r="480" spans="1:13">
      <c r="A480" s="216">
        <v>1714</v>
      </c>
      <c r="C480">
        <v>131</v>
      </c>
      <c r="D480">
        <v>4476</v>
      </c>
      <c r="E480">
        <v>9462</v>
      </c>
      <c r="F480">
        <v>15496</v>
      </c>
      <c r="G480">
        <v>8651</v>
      </c>
      <c r="H480" s="238">
        <v>0.01</v>
      </c>
      <c r="J480" s="228">
        <v>0.01</v>
      </c>
      <c r="L480">
        <v>438</v>
      </c>
      <c r="M480">
        <v>68.47</v>
      </c>
    </row>
    <row r="481" spans="1:13">
      <c r="A481" s="216">
        <v>1762</v>
      </c>
      <c r="C481">
        <v>24</v>
      </c>
      <c r="D481">
        <v>196</v>
      </c>
      <c r="E481">
        <v>1808</v>
      </c>
      <c r="F481">
        <v>1791</v>
      </c>
      <c r="G481">
        <v>405</v>
      </c>
      <c r="H481" s="238">
        <v>0.01</v>
      </c>
      <c r="J481" s="228">
        <v>0.01</v>
      </c>
      <c r="L481">
        <v>438</v>
      </c>
      <c r="M481">
        <v>68.400000000000006</v>
      </c>
    </row>
    <row r="482" spans="1:13">
      <c r="A482" s="216">
        <v>2006</v>
      </c>
      <c r="C482">
        <v>217</v>
      </c>
      <c r="D482">
        <v>4250</v>
      </c>
      <c r="E482">
        <v>15587</v>
      </c>
      <c r="F482">
        <v>22804</v>
      </c>
      <c r="G482">
        <v>6911</v>
      </c>
      <c r="H482" s="238">
        <v>0.01</v>
      </c>
      <c r="J482" s="228">
        <v>0.01</v>
      </c>
      <c r="L482">
        <v>438</v>
      </c>
      <c r="M482">
        <v>68.33</v>
      </c>
    </row>
    <row r="483" spans="1:13">
      <c r="A483" s="216">
        <v>2023</v>
      </c>
      <c r="C483">
        <v>304</v>
      </c>
      <c r="D483">
        <v>0</v>
      </c>
      <c r="E483">
        <v>35530</v>
      </c>
      <c r="F483">
        <v>30056</v>
      </c>
      <c r="G483">
        <v>16536</v>
      </c>
      <c r="H483" s="238">
        <v>0.01</v>
      </c>
      <c r="J483" s="228">
        <v>0.01</v>
      </c>
      <c r="L483">
        <v>438</v>
      </c>
      <c r="M483">
        <v>68.27</v>
      </c>
    </row>
    <row r="484" spans="1:13">
      <c r="A484" s="216">
        <v>2024</v>
      </c>
      <c r="C484">
        <v>11</v>
      </c>
      <c r="D484">
        <v>236</v>
      </c>
      <c r="E484">
        <v>1215</v>
      </c>
      <c r="F484">
        <v>1070</v>
      </c>
      <c r="G484">
        <v>439</v>
      </c>
      <c r="H484" s="238">
        <v>0.01</v>
      </c>
      <c r="J484" s="228">
        <v>0.01</v>
      </c>
      <c r="L484">
        <v>438</v>
      </c>
      <c r="M484">
        <v>68.2</v>
      </c>
    </row>
    <row r="485" spans="1:13">
      <c r="A485" s="216">
        <v>2359</v>
      </c>
      <c r="C485">
        <v>30</v>
      </c>
      <c r="D485">
        <v>2886</v>
      </c>
      <c r="E485">
        <v>474</v>
      </c>
      <c r="F485">
        <v>4847</v>
      </c>
      <c r="G485">
        <v>55</v>
      </c>
      <c r="H485" s="238">
        <v>0.01</v>
      </c>
      <c r="J485" s="228">
        <v>0.01</v>
      </c>
      <c r="L485">
        <v>438</v>
      </c>
      <c r="M485">
        <v>68.14</v>
      </c>
    </row>
    <row r="486" spans="1:13">
      <c r="A486" s="216">
        <v>2375</v>
      </c>
      <c r="C486">
        <v>17</v>
      </c>
      <c r="D486">
        <v>1389</v>
      </c>
      <c r="E486">
        <v>210</v>
      </c>
      <c r="F486">
        <v>1663</v>
      </c>
      <c r="G486">
        <v>349</v>
      </c>
      <c r="H486" s="238">
        <v>0.01</v>
      </c>
      <c r="J486" s="228">
        <v>0.01</v>
      </c>
      <c r="L486">
        <v>438</v>
      </c>
      <c r="M486">
        <v>68.069999999999993</v>
      </c>
    </row>
    <row r="487" spans="1:13">
      <c r="A487" s="216">
        <v>2379</v>
      </c>
      <c r="C487">
        <v>262</v>
      </c>
      <c r="D487">
        <v>14183</v>
      </c>
      <c r="E487">
        <v>3382</v>
      </c>
      <c r="F487">
        <v>21587</v>
      </c>
      <c r="G487">
        <v>11071</v>
      </c>
      <c r="H487" s="238">
        <v>0.01</v>
      </c>
      <c r="J487" s="228">
        <v>0.01</v>
      </c>
      <c r="L487">
        <v>438</v>
      </c>
      <c r="M487">
        <v>68.010000000000005</v>
      </c>
    </row>
    <row r="488" spans="1:13">
      <c r="A488" s="216">
        <v>2453</v>
      </c>
      <c r="C488">
        <v>19</v>
      </c>
      <c r="D488">
        <v>976</v>
      </c>
      <c r="E488">
        <v>494</v>
      </c>
      <c r="F488">
        <v>1744</v>
      </c>
      <c r="G488">
        <v>143</v>
      </c>
      <c r="H488" s="238">
        <v>0.01</v>
      </c>
      <c r="J488" s="228">
        <v>0.01</v>
      </c>
      <c r="L488">
        <v>438</v>
      </c>
      <c r="M488">
        <v>67.94</v>
      </c>
    </row>
    <row r="489" spans="1:13">
      <c r="A489" s="216">
        <v>2511</v>
      </c>
      <c r="C489">
        <v>318</v>
      </c>
      <c r="D489">
        <v>18009</v>
      </c>
      <c r="E489">
        <v>6791</v>
      </c>
      <c r="F489">
        <v>23587</v>
      </c>
      <c r="G489">
        <v>5551</v>
      </c>
      <c r="H489" s="238">
        <v>0.01</v>
      </c>
      <c r="J489" s="228">
        <v>0.01</v>
      </c>
      <c r="L489">
        <v>438</v>
      </c>
      <c r="M489">
        <v>67.87</v>
      </c>
    </row>
    <row r="490" spans="1:13">
      <c r="A490" s="216">
        <v>2516</v>
      </c>
      <c r="C490">
        <v>22</v>
      </c>
      <c r="D490">
        <v>1571</v>
      </c>
      <c r="E490">
        <v>1107</v>
      </c>
      <c r="F490">
        <v>3039</v>
      </c>
      <c r="G490">
        <v>1145</v>
      </c>
      <c r="H490" s="238">
        <v>0.01</v>
      </c>
      <c r="J490" s="228">
        <v>0.01</v>
      </c>
      <c r="L490">
        <v>438</v>
      </c>
      <c r="M490">
        <v>67.81</v>
      </c>
    </row>
    <row r="491" spans="1:13">
      <c r="A491" s="216">
        <v>2520</v>
      </c>
      <c r="C491">
        <v>162</v>
      </c>
      <c r="D491">
        <v>11050</v>
      </c>
      <c r="E491">
        <v>7669</v>
      </c>
      <c r="F491">
        <v>12300</v>
      </c>
      <c r="G491">
        <v>16954</v>
      </c>
      <c r="H491" s="238">
        <v>0.01</v>
      </c>
      <c r="J491" s="228">
        <v>0.01</v>
      </c>
      <c r="L491">
        <v>438</v>
      </c>
      <c r="M491">
        <v>67.739999999999995</v>
      </c>
    </row>
    <row r="492" spans="1:13">
      <c r="A492" s="216">
        <v>2597</v>
      </c>
      <c r="C492">
        <v>57</v>
      </c>
      <c r="D492">
        <v>1108</v>
      </c>
      <c r="E492">
        <v>3217</v>
      </c>
      <c r="F492">
        <v>5392</v>
      </c>
      <c r="G492">
        <v>360</v>
      </c>
      <c r="H492" s="238">
        <v>0.01</v>
      </c>
      <c r="J492" s="228">
        <v>0.01</v>
      </c>
      <c r="L492">
        <v>438</v>
      </c>
      <c r="M492">
        <v>67.680000000000007</v>
      </c>
    </row>
    <row r="493" spans="1:13">
      <c r="A493" s="216">
        <v>2607</v>
      </c>
      <c r="C493">
        <v>256</v>
      </c>
      <c r="D493">
        <v>2751</v>
      </c>
      <c r="E493">
        <v>26187</v>
      </c>
      <c r="F493">
        <v>21444</v>
      </c>
      <c r="G493">
        <v>1117</v>
      </c>
      <c r="H493" s="238">
        <v>0.01</v>
      </c>
      <c r="J493" s="228">
        <v>0.01</v>
      </c>
      <c r="L493">
        <v>438</v>
      </c>
      <c r="M493">
        <v>67.61</v>
      </c>
    </row>
    <row r="494" spans="1:13">
      <c r="A494" s="216">
        <v>2612</v>
      </c>
      <c r="C494">
        <v>194</v>
      </c>
      <c r="D494">
        <v>2698</v>
      </c>
      <c r="E494">
        <v>13820</v>
      </c>
      <c r="F494">
        <v>11052</v>
      </c>
      <c r="G494">
        <v>2125</v>
      </c>
      <c r="H494" s="238">
        <v>0.01</v>
      </c>
      <c r="J494" s="228">
        <v>0.01</v>
      </c>
      <c r="L494">
        <v>438</v>
      </c>
      <c r="M494">
        <v>67.540000000000006</v>
      </c>
    </row>
    <row r="495" spans="1:13">
      <c r="A495" s="216">
        <v>2704</v>
      </c>
      <c r="C495">
        <v>52</v>
      </c>
      <c r="D495">
        <v>2071</v>
      </c>
      <c r="E495">
        <v>6455</v>
      </c>
      <c r="F495">
        <v>9183</v>
      </c>
      <c r="G495">
        <v>335</v>
      </c>
      <c r="H495" s="238">
        <v>0.01</v>
      </c>
      <c r="J495" s="228">
        <v>0.01</v>
      </c>
      <c r="L495">
        <v>438</v>
      </c>
      <c r="M495">
        <v>67.48</v>
      </c>
    </row>
    <row r="496" spans="1:13">
      <c r="A496" s="216">
        <v>3018</v>
      </c>
      <c r="C496">
        <v>4</v>
      </c>
      <c r="D496">
        <v>523</v>
      </c>
      <c r="E496">
        <v>195</v>
      </c>
      <c r="F496">
        <v>586</v>
      </c>
      <c r="G496">
        <v>64</v>
      </c>
      <c r="H496" s="238">
        <v>0.01</v>
      </c>
      <c r="J496" s="228">
        <v>0.01</v>
      </c>
      <c r="L496">
        <v>438</v>
      </c>
      <c r="M496">
        <v>67.41</v>
      </c>
    </row>
    <row r="497" spans="1:13">
      <c r="A497" s="216">
        <v>3037</v>
      </c>
      <c r="C497">
        <v>378</v>
      </c>
      <c r="D497">
        <v>10641</v>
      </c>
      <c r="E497">
        <v>50596</v>
      </c>
      <c r="F497">
        <v>47515</v>
      </c>
      <c r="G497">
        <v>15510</v>
      </c>
      <c r="H497" s="238">
        <v>0.01</v>
      </c>
      <c r="J497" s="228">
        <v>0.01</v>
      </c>
      <c r="L497">
        <v>438</v>
      </c>
      <c r="M497">
        <v>67.349999999999994</v>
      </c>
    </row>
    <row r="498" spans="1:13">
      <c r="A498" s="216">
        <v>3047</v>
      </c>
      <c r="C498">
        <v>33</v>
      </c>
      <c r="D498">
        <v>1869</v>
      </c>
      <c r="E498">
        <v>452</v>
      </c>
      <c r="F498">
        <v>2635</v>
      </c>
      <c r="G498">
        <v>454</v>
      </c>
      <c r="H498" s="238">
        <v>0.01</v>
      </c>
      <c r="J498" s="228">
        <v>0.01</v>
      </c>
      <c r="L498">
        <v>438</v>
      </c>
      <c r="M498">
        <v>67.28</v>
      </c>
    </row>
    <row r="499" spans="1:13">
      <c r="A499" s="216">
        <v>3058</v>
      </c>
      <c r="C499">
        <v>25</v>
      </c>
      <c r="D499">
        <v>626</v>
      </c>
      <c r="E499">
        <v>1727</v>
      </c>
      <c r="F499">
        <v>2899</v>
      </c>
      <c r="G499">
        <v>834</v>
      </c>
      <c r="H499" s="238">
        <v>0.01</v>
      </c>
      <c r="J499" s="228">
        <v>0.01</v>
      </c>
      <c r="L499">
        <v>438</v>
      </c>
      <c r="M499">
        <v>67.22</v>
      </c>
    </row>
    <row r="500" spans="1:13">
      <c r="A500" s="216">
        <v>3305</v>
      </c>
      <c r="C500">
        <v>60</v>
      </c>
      <c r="D500">
        <v>3174</v>
      </c>
      <c r="E500">
        <v>1096</v>
      </c>
      <c r="F500">
        <v>4008</v>
      </c>
      <c r="G500">
        <v>1615</v>
      </c>
      <c r="H500" s="238">
        <v>0.01</v>
      </c>
      <c r="J500" s="228">
        <v>0.01</v>
      </c>
      <c r="L500">
        <v>438</v>
      </c>
      <c r="M500">
        <v>67.150000000000006</v>
      </c>
    </row>
    <row r="501" spans="1:13">
      <c r="A501" s="216">
        <v>3504</v>
      </c>
      <c r="C501">
        <v>53</v>
      </c>
      <c r="D501">
        <v>1638</v>
      </c>
      <c r="E501">
        <v>2160</v>
      </c>
      <c r="F501">
        <v>4036</v>
      </c>
      <c r="G501">
        <v>500</v>
      </c>
      <c r="H501" s="238">
        <v>0.01</v>
      </c>
      <c r="J501" s="228">
        <v>0.01</v>
      </c>
      <c r="L501">
        <v>438</v>
      </c>
      <c r="M501">
        <v>67.08</v>
      </c>
    </row>
    <row r="502" spans="1:13">
      <c r="A502" s="216">
        <v>3550</v>
      </c>
      <c r="C502">
        <v>26</v>
      </c>
      <c r="D502">
        <v>2168</v>
      </c>
      <c r="E502">
        <v>476</v>
      </c>
      <c r="F502">
        <v>2340</v>
      </c>
      <c r="G502">
        <v>497</v>
      </c>
      <c r="H502" s="238">
        <v>0.01</v>
      </c>
      <c r="J502" s="228">
        <v>0.01</v>
      </c>
      <c r="L502">
        <v>438</v>
      </c>
      <c r="M502">
        <v>67.02</v>
      </c>
    </row>
    <row r="503" spans="1:13">
      <c r="A503" s="216">
        <v>4106</v>
      </c>
      <c r="C503">
        <v>12</v>
      </c>
      <c r="D503">
        <v>327</v>
      </c>
      <c r="E503">
        <v>683</v>
      </c>
      <c r="F503">
        <v>1604</v>
      </c>
      <c r="G503">
        <v>510</v>
      </c>
      <c r="H503" s="238">
        <v>0.01</v>
      </c>
      <c r="J503" s="228">
        <v>0.01</v>
      </c>
      <c r="L503">
        <v>438</v>
      </c>
      <c r="M503">
        <v>66.95</v>
      </c>
    </row>
    <row r="504" spans="1:13">
      <c r="A504" s="216">
        <v>4526</v>
      </c>
      <c r="C504">
        <v>64</v>
      </c>
      <c r="D504">
        <v>3901</v>
      </c>
      <c r="E504">
        <v>2772</v>
      </c>
      <c r="F504">
        <v>6380</v>
      </c>
      <c r="G504">
        <v>3057</v>
      </c>
      <c r="H504" s="238">
        <v>0.01</v>
      </c>
      <c r="J504" s="228">
        <v>0.01</v>
      </c>
      <c r="L504">
        <v>438</v>
      </c>
      <c r="M504">
        <v>66.89</v>
      </c>
    </row>
    <row r="505" spans="1:13">
      <c r="A505" s="216">
        <v>5469</v>
      </c>
      <c r="C505">
        <v>244</v>
      </c>
      <c r="D505">
        <v>11596</v>
      </c>
      <c r="E505">
        <v>13989</v>
      </c>
      <c r="F505">
        <v>20322</v>
      </c>
      <c r="G505">
        <v>13711</v>
      </c>
      <c r="H505" s="238">
        <v>0.01</v>
      </c>
      <c r="J505" s="228">
        <v>0.01</v>
      </c>
      <c r="L505">
        <v>438</v>
      </c>
      <c r="M505">
        <v>66.819999999999993</v>
      </c>
    </row>
    <row r="506" spans="1:13">
      <c r="A506" s="216">
        <v>5533</v>
      </c>
      <c r="C506">
        <v>129</v>
      </c>
      <c r="D506">
        <v>4523</v>
      </c>
      <c r="E506">
        <v>4094</v>
      </c>
      <c r="F506">
        <v>7086</v>
      </c>
      <c r="G506">
        <v>3934</v>
      </c>
      <c r="H506" s="238">
        <v>0.01</v>
      </c>
      <c r="J506" s="228">
        <v>0.01</v>
      </c>
      <c r="L506">
        <v>438</v>
      </c>
      <c r="M506">
        <v>66.75</v>
      </c>
    </row>
    <row r="507" spans="1:13">
      <c r="A507" s="216">
        <v>6214</v>
      </c>
      <c r="C507">
        <v>75</v>
      </c>
      <c r="D507">
        <v>7098</v>
      </c>
      <c r="E507">
        <v>2269</v>
      </c>
      <c r="F507">
        <v>13082</v>
      </c>
      <c r="G507">
        <v>904</v>
      </c>
      <c r="H507" s="238">
        <v>0.01</v>
      </c>
      <c r="J507" s="228">
        <v>0.01</v>
      </c>
      <c r="L507">
        <v>438</v>
      </c>
      <c r="M507">
        <v>66.69</v>
      </c>
    </row>
    <row r="508" spans="1:13">
      <c r="A508" s="216">
        <v>6226</v>
      </c>
      <c r="C508">
        <v>11</v>
      </c>
      <c r="D508">
        <v>535</v>
      </c>
      <c r="E508">
        <v>685</v>
      </c>
      <c r="F508">
        <v>1139</v>
      </c>
      <c r="G508">
        <v>624</v>
      </c>
      <c r="H508" s="238">
        <v>0.01</v>
      </c>
      <c r="J508" s="228">
        <v>0.01</v>
      </c>
      <c r="L508">
        <v>438</v>
      </c>
      <c r="M508">
        <v>66.62</v>
      </c>
    </row>
    <row r="509" spans="1:13">
      <c r="A509" s="216">
        <v>6405</v>
      </c>
      <c r="C509">
        <v>28</v>
      </c>
      <c r="D509">
        <v>654</v>
      </c>
      <c r="E509">
        <v>2055</v>
      </c>
      <c r="F509">
        <v>1964</v>
      </c>
      <c r="G509">
        <v>77</v>
      </c>
      <c r="H509" s="238">
        <v>0.01</v>
      </c>
      <c r="J509" s="228">
        <v>0.01</v>
      </c>
      <c r="L509">
        <v>438</v>
      </c>
      <c r="M509">
        <v>66.56</v>
      </c>
    </row>
    <row r="510" spans="1:13">
      <c r="A510" s="216">
        <v>8105</v>
      </c>
      <c r="C510">
        <v>110</v>
      </c>
      <c r="D510">
        <v>3484</v>
      </c>
      <c r="E510">
        <v>3962</v>
      </c>
      <c r="F510">
        <v>7647</v>
      </c>
      <c r="G510">
        <v>887</v>
      </c>
      <c r="H510" s="238">
        <v>0.01</v>
      </c>
      <c r="J510" s="228">
        <v>0.01</v>
      </c>
      <c r="L510">
        <v>438</v>
      </c>
      <c r="M510">
        <v>66.489999999999995</v>
      </c>
    </row>
    <row r="511" spans="1:13">
      <c r="A511" s="216">
        <v>8443</v>
      </c>
      <c r="C511">
        <v>11</v>
      </c>
      <c r="D511">
        <v>1287</v>
      </c>
      <c r="E511">
        <v>312</v>
      </c>
      <c r="F511">
        <v>1660</v>
      </c>
      <c r="G511">
        <v>1</v>
      </c>
      <c r="H511" s="238">
        <v>0.01</v>
      </c>
      <c r="J511" s="228">
        <v>0.01</v>
      </c>
      <c r="L511">
        <v>438</v>
      </c>
      <c r="M511">
        <v>66.430000000000007</v>
      </c>
    </row>
    <row r="512" spans="1:13">
      <c r="A512" s="216">
        <v>8463</v>
      </c>
      <c r="C512">
        <v>38</v>
      </c>
      <c r="D512">
        <v>506</v>
      </c>
      <c r="E512">
        <v>2905</v>
      </c>
      <c r="F512">
        <v>2373</v>
      </c>
      <c r="G512">
        <v>360</v>
      </c>
      <c r="H512" s="238">
        <v>0.01</v>
      </c>
      <c r="J512" s="228">
        <v>0.01</v>
      </c>
      <c r="L512">
        <v>438</v>
      </c>
      <c r="M512">
        <v>66.36</v>
      </c>
    </row>
    <row r="513" spans="1:13">
      <c r="A513" s="216">
        <v>9802</v>
      </c>
      <c r="C513">
        <v>52</v>
      </c>
      <c r="D513">
        <v>926</v>
      </c>
      <c r="E513">
        <v>4456</v>
      </c>
      <c r="F513">
        <v>5594</v>
      </c>
      <c r="G513">
        <v>1343</v>
      </c>
      <c r="H513" s="238">
        <v>0.01</v>
      </c>
      <c r="J513" s="228">
        <v>0.01</v>
      </c>
      <c r="L513">
        <v>438</v>
      </c>
      <c r="M513">
        <v>66.290000000000006</v>
      </c>
    </row>
    <row r="514" spans="1:13">
      <c r="A514" s="216">
        <v>9931</v>
      </c>
      <c r="C514">
        <v>13</v>
      </c>
      <c r="D514">
        <v>0</v>
      </c>
      <c r="E514">
        <v>2254</v>
      </c>
      <c r="F514">
        <v>1658</v>
      </c>
      <c r="G514">
        <v>130</v>
      </c>
      <c r="H514" s="238">
        <v>0.01</v>
      </c>
      <c r="J514" s="228">
        <v>0.01</v>
      </c>
      <c r="L514">
        <v>438</v>
      </c>
      <c r="M514">
        <v>66.23</v>
      </c>
    </row>
    <row r="515" spans="1:13">
      <c r="A515" s="216">
        <v>9944</v>
      </c>
      <c r="C515">
        <v>28</v>
      </c>
      <c r="D515">
        <v>833</v>
      </c>
      <c r="E515">
        <v>2335</v>
      </c>
      <c r="F515">
        <v>3183</v>
      </c>
      <c r="G515">
        <v>1016</v>
      </c>
      <c r="H515" s="238">
        <v>0.01</v>
      </c>
      <c r="J515" s="228">
        <v>0.01</v>
      </c>
      <c r="L515">
        <v>438</v>
      </c>
      <c r="M515">
        <v>66.16</v>
      </c>
    </row>
    <row r="516" spans="1:13">
      <c r="A516" s="216">
        <v>1566</v>
      </c>
      <c r="C516">
        <v>24</v>
      </c>
      <c r="D516">
        <v>0</v>
      </c>
      <c r="E516">
        <v>1875</v>
      </c>
      <c r="F516">
        <v>1504</v>
      </c>
      <c r="G516">
        <v>1069</v>
      </c>
      <c r="H516" s="238">
        <v>0.01</v>
      </c>
      <c r="J516" s="228">
        <v>0.01</v>
      </c>
      <c r="L516">
        <v>438</v>
      </c>
      <c r="M516">
        <v>66.099999999999994</v>
      </c>
    </row>
    <row r="517" spans="1:13">
      <c r="A517" s="216">
        <v>2641</v>
      </c>
      <c r="C517">
        <v>22</v>
      </c>
      <c r="D517">
        <v>0</v>
      </c>
      <c r="E517">
        <v>3485</v>
      </c>
      <c r="F517">
        <v>1533</v>
      </c>
      <c r="G517">
        <v>512</v>
      </c>
      <c r="H517" s="238">
        <v>0.01</v>
      </c>
      <c r="J517" s="228">
        <v>0.01</v>
      </c>
      <c r="L517">
        <v>438</v>
      </c>
      <c r="M517">
        <v>66.03</v>
      </c>
    </row>
    <row r="518" spans="1:13">
      <c r="A518" s="216">
        <v>2718</v>
      </c>
      <c r="C518">
        <v>6</v>
      </c>
      <c r="D518">
        <v>180</v>
      </c>
      <c r="E518">
        <v>542</v>
      </c>
      <c r="F518">
        <v>583</v>
      </c>
      <c r="G518">
        <v>25</v>
      </c>
      <c r="H518" s="238">
        <v>0.01</v>
      </c>
      <c r="J518" s="228">
        <v>0.01</v>
      </c>
      <c r="L518">
        <v>438</v>
      </c>
      <c r="M518">
        <v>65.959999999999994</v>
      </c>
    </row>
    <row r="519" spans="1:13">
      <c r="A519" s="216">
        <v>2924</v>
      </c>
      <c r="C519">
        <v>6</v>
      </c>
      <c r="D519">
        <v>630</v>
      </c>
      <c r="E519">
        <v>185</v>
      </c>
      <c r="F519">
        <v>894</v>
      </c>
      <c r="G519">
        <v>35</v>
      </c>
      <c r="H519" s="238">
        <v>0.01</v>
      </c>
      <c r="J519" s="228">
        <v>0.01</v>
      </c>
      <c r="L519">
        <v>438</v>
      </c>
      <c r="M519">
        <v>65.900000000000006</v>
      </c>
    </row>
    <row r="520" spans="1:13">
      <c r="A520" s="216">
        <v>3218</v>
      </c>
      <c r="C520">
        <v>15</v>
      </c>
      <c r="D520">
        <v>468</v>
      </c>
      <c r="E520">
        <v>789</v>
      </c>
      <c r="F520">
        <v>1134</v>
      </c>
      <c r="G520">
        <v>313</v>
      </c>
      <c r="H520" s="238">
        <v>0.01</v>
      </c>
      <c r="J520" s="228">
        <v>0.01</v>
      </c>
      <c r="L520">
        <v>438</v>
      </c>
      <c r="M520">
        <v>65.83</v>
      </c>
    </row>
    <row r="521" spans="1:13">
      <c r="A521" s="216">
        <v>3219</v>
      </c>
      <c r="C521">
        <v>1</v>
      </c>
      <c r="D521">
        <v>162</v>
      </c>
      <c r="E521">
        <v>1</v>
      </c>
      <c r="F521">
        <v>161</v>
      </c>
      <c r="G521">
        <v>2</v>
      </c>
      <c r="H521" s="238">
        <v>0.01</v>
      </c>
      <c r="J521" s="228">
        <v>0.01</v>
      </c>
      <c r="L521">
        <v>438</v>
      </c>
      <c r="M521">
        <v>65.77</v>
      </c>
    </row>
    <row r="522" spans="1:13">
      <c r="A522" s="216">
        <v>3444</v>
      </c>
      <c r="C522">
        <v>5</v>
      </c>
      <c r="D522">
        <v>297</v>
      </c>
      <c r="E522">
        <v>217</v>
      </c>
      <c r="F522">
        <v>573</v>
      </c>
      <c r="G522">
        <v>55</v>
      </c>
      <c r="H522" s="238">
        <v>0.01</v>
      </c>
      <c r="J522" s="228">
        <v>0.01</v>
      </c>
      <c r="L522">
        <v>438</v>
      </c>
      <c r="M522">
        <v>65.7</v>
      </c>
    </row>
    <row r="523" spans="1:13">
      <c r="A523" s="216">
        <v>3531</v>
      </c>
      <c r="C523">
        <v>12</v>
      </c>
      <c r="D523">
        <v>1147</v>
      </c>
      <c r="E523">
        <v>536</v>
      </c>
      <c r="F523">
        <v>1766</v>
      </c>
      <c r="G523">
        <v>503</v>
      </c>
      <c r="H523" s="238">
        <v>0.01</v>
      </c>
      <c r="J523" s="228">
        <v>0.01</v>
      </c>
      <c r="L523">
        <v>438</v>
      </c>
      <c r="M523">
        <v>65.64</v>
      </c>
    </row>
    <row r="524" spans="1:13">
      <c r="A524" s="216">
        <v>3540</v>
      </c>
      <c r="C524">
        <v>8</v>
      </c>
      <c r="D524">
        <v>996</v>
      </c>
      <c r="E524">
        <v>116</v>
      </c>
      <c r="F524">
        <v>1265</v>
      </c>
      <c r="G524">
        <v>266</v>
      </c>
      <c r="H524" s="238">
        <v>0.01</v>
      </c>
      <c r="J524" s="228">
        <v>0.01</v>
      </c>
      <c r="L524">
        <v>438</v>
      </c>
      <c r="M524">
        <v>65.569999999999993</v>
      </c>
    </row>
    <row r="525" spans="1:13">
      <c r="A525" s="216">
        <v>3624</v>
      </c>
      <c r="C525">
        <v>37</v>
      </c>
      <c r="D525">
        <v>1175</v>
      </c>
      <c r="E525">
        <v>1336</v>
      </c>
      <c r="F525">
        <v>2495</v>
      </c>
      <c r="G525">
        <v>478</v>
      </c>
      <c r="H525" s="238">
        <v>0.01</v>
      </c>
      <c r="J525" s="228">
        <v>0.01</v>
      </c>
      <c r="L525">
        <v>438</v>
      </c>
      <c r="M525">
        <v>65.5</v>
      </c>
    </row>
    <row r="526" spans="1:13">
      <c r="A526" s="216">
        <v>3628</v>
      </c>
      <c r="C526">
        <v>14</v>
      </c>
      <c r="D526">
        <v>851</v>
      </c>
      <c r="E526">
        <v>827</v>
      </c>
      <c r="F526">
        <v>1697</v>
      </c>
      <c r="G526">
        <v>248</v>
      </c>
      <c r="H526" s="238">
        <v>0.01</v>
      </c>
      <c r="J526" s="228">
        <v>0.01</v>
      </c>
      <c r="L526">
        <v>438</v>
      </c>
      <c r="M526">
        <v>65.44</v>
      </c>
    </row>
    <row r="527" spans="1:13">
      <c r="A527" s="216">
        <v>3680</v>
      </c>
      <c r="C527">
        <v>12</v>
      </c>
      <c r="D527">
        <v>0</v>
      </c>
      <c r="E527">
        <v>1503</v>
      </c>
      <c r="F527">
        <v>1095</v>
      </c>
      <c r="G527">
        <v>961</v>
      </c>
      <c r="H527" s="238">
        <v>0.01</v>
      </c>
      <c r="J527" s="228">
        <v>0.01</v>
      </c>
      <c r="L527">
        <v>438</v>
      </c>
      <c r="M527">
        <v>65.37</v>
      </c>
    </row>
    <row r="528" spans="1:13">
      <c r="A528" s="216">
        <v>3685</v>
      </c>
      <c r="C528">
        <v>11</v>
      </c>
      <c r="D528">
        <v>648</v>
      </c>
      <c r="E528">
        <v>585</v>
      </c>
      <c r="F528">
        <v>1278</v>
      </c>
      <c r="G528">
        <v>99</v>
      </c>
      <c r="H528" s="238">
        <v>0.01</v>
      </c>
      <c r="J528" s="228">
        <v>0.01</v>
      </c>
      <c r="L528">
        <v>438</v>
      </c>
      <c r="M528">
        <v>65.31</v>
      </c>
    </row>
    <row r="529" spans="1:13">
      <c r="A529" s="216">
        <v>4533</v>
      </c>
      <c r="C529">
        <v>19</v>
      </c>
      <c r="D529">
        <v>1105</v>
      </c>
      <c r="E529">
        <v>1589</v>
      </c>
      <c r="F529">
        <v>2699</v>
      </c>
      <c r="G529">
        <v>511</v>
      </c>
      <c r="H529" s="238">
        <v>0.01</v>
      </c>
      <c r="J529" s="228">
        <v>0.01</v>
      </c>
      <c r="L529">
        <v>438</v>
      </c>
      <c r="M529">
        <v>65.239999999999995</v>
      </c>
    </row>
    <row r="530" spans="1:13">
      <c r="A530" s="216">
        <v>4534</v>
      </c>
      <c r="C530">
        <v>12</v>
      </c>
      <c r="D530">
        <v>258</v>
      </c>
      <c r="E530">
        <v>675</v>
      </c>
      <c r="F530">
        <v>951</v>
      </c>
      <c r="G530">
        <v>374</v>
      </c>
      <c r="H530" s="238">
        <v>0.01</v>
      </c>
      <c r="J530" s="228">
        <v>0.01</v>
      </c>
      <c r="L530">
        <v>438</v>
      </c>
      <c r="M530">
        <v>65.17</v>
      </c>
    </row>
    <row r="531" spans="1:13">
      <c r="A531" s="216">
        <v>5011</v>
      </c>
      <c r="C531">
        <v>6</v>
      </c>
      <c r="D531">
        <v>27</v>
      </c>
      <c r="E531">
        <v>404</v>
      </c>
      <c r="F531">
        <v>421</v>
      </c>
      <c r="G531">
        <v>225</v>
      </c>
      <c r="H531" s="238">
        <v>0.01</v>
      </c>
      <c r="J531" s="228">
        <v>0.01</v>
      </c>
      <c r="L531">
        <v>438</v>
      </c>
      <c r="M531">
        <v>65.11</v>
      </c>
    </row>
    <row r="532" spans="1:13">
      <c r="A532" s="216">
        <v>5317</v>
      </c>
      <c r="C532">
        <v>24</v>
      </c>
      <c r="D532">
        <v>1197</v>
      </c>
      <c r="E532">
        <v>573</v>
      </c>
      <c r="F532">
        <v>1752</v>
      </c>
      <c r="G532">
        <v>52</v>
      </c>
      <c r="H532" s="238">
        <v>0.01</v>
      </c>
      <c r="J532" s="228">
        <v>0.01</v>
      </c>
      <c r="L532">
        <v>438</v>
      </c>
      <c r="M532">
        <v>65.040000000000006</v>
      </c>
    </row>
    <row r="533" spans="1:13">
      <c r="A533" s="216">
        <v>5609</v>
      </c>
      <c r="C533">
        <v>28</v>
      </c>
      <c r="D533">
        <v>1372</v>
      </c>
      <c r="E533">
        <v>726</v>
      </c>
      <c r="F533">
        <v>2122</v>
      </c>
      <c r="G533">
        <v>534</v>
      </c>
      <c r="H533" s="238">
        <v>0.01</v>
      </c>
      <c r="J533" s="228">
        <v>0.01</v>
      </c>
      <c r="L533">
        <v>438</v>
      </c>
      <c r="M533">
        <v>64.98</v>
      </c>
    </row>
    <row r="534" spans="1:13">
      <c r="A534" s="216">
        <v>6156</v>
      </c>
      <c r="C534">
        <v>24</v>
      </c>
      <c r="D534">
        <v>931</v>
      </c>
      <c r="E534">
        <v>702</v>
      </c>
      <c r="F534">
        <v>1757</v>
      </c>
      <c r="G534">
        <v>317</v>
      </c>
      <c r="H534" s="238">
        <v>0.01</v>
      </c>
      <c r="J534" s="228">
        <v>0.01</v>
      </c>
      <c r="L534">
        <v>438</v>
      </c>
      <c r="M534">
        <v>64.91</v>
      </c>
    </row>
    <row r="535" spans="1:13">
      <c r="A535" s="216">
        <v>6161</v>
      </c>
      <c r="C535">
        <v>18</v>
      </c>
      <c r="D535">
        <v>778</v>
      </c>
      <c r="E535">
        <v>572</v>
      </c>
      <c r="F535">
        <v>1529</v>
      </c>
      <c r="G535">
        <v>500</v>
      </c>
      <c r="H535" s="238">
        <v>0.01</v>
      </c>
      <c r="J535" s="228">
        <v>0.01</v>
      </c>
      <c r="L535">
        <v>438</v>
      </c>
      <c r="M535">
        <v>64.849999999999994</v>
      </c>
    </row>
    <row r="536" spans="1:13">
      <c r="A536" s="216">
        <v>6173</v>
      </c>
      <c r="C536">
        <v>34</v>
      </c>
      <c r="D536">
        <v>1459</v>
      </c>
      <c r="E536">
        <v>822</v>
      </c>
      <c r="F536">
        <v>2764</v>
      </c>
      <c r="G536">
        <v>240</v>
      </c>
      <c r="H536" s="238">
        <v>0.01</v>
      </c>
      <c r="J536" s="228">
        <v>0.01</v>
      </c>
      <c r="L536">
        <v>438</v>
      </c>
      <c r="M536">
        <v>64.78</v>
      </c>
    </row>
    <row r="537" spans="1:13">
      <c r="A537" s="216">
        <v>6182</v>
      </c>
      <c r="C537">
        <v>103</v>
      </c>
      <c r="D537">
        <v>359</v>
      </c>
      <c r="E537">
        <v>7213</v>
      </c>
      <c r="F537">
        <v>6736</v>
      </c>
      <c r="G537">
        <v>3470</v>
      </c>
      <c r="H537" s="238">
        <v>0.01</v>
      </c>
      <c r="J537" s="228">
        <v>0.01</v>
      </c>
      <c r="L537">
        <v>438</v>
      </c>
      <c r="M537">
        <v>64.709999999999994</v>
      </c>
    </row>
    <row r="538" spans="1:13">
      <c r="A538" s="216">
        <v>6244</v>
      </c>
      <c r="C538">
        <v>203</v>
      </c>
      <c r="D538">
        <v>5091</v>
      </c>
      <c r="E538">
        <v>11608</v>
      </c>
      <c r="F538">
        <v>13864</v>
      </c>
      <c r="G538">
        <v>5041</v>
      </c>
      <c r="H538" s="238">
        <v>0.01</v>
      </c>
      <c r="J538" s="228">
        <v>0.01</v>
      </c>
      <c r="L538">
        <v>438</v>
      </c>
      <c r="M538">
        <v>64.650000000000006</v>
      </c>
    </row>
    <row r="539" spans="1:13">
      <c r="A539" s="216">
        <v>8087</v>
      </c>
      <c r="C539">
        <v>2</v>
      </c>
      <c r="D539">
        <v>130</v>
      </c>
      <c r="E539">
        <v>229</v>
      </c>
      <c r="F539">
        <v>303</v>
      </c>
      <c r="G539">
        <v>22</v>
      </c>
      <c r="H539" s="238">
        <v>0.01</v>
      </c>
      <c r="J539" s="228">
        <v>0.01</v>
      </c>
      <c r="L539">
        <v>438</v>
      </c>
      <c r="M539">
        <v>64.58</v>
      </c>
    </row>
    <row r="540" spans="1:13">
      <c r="A540" s="216">
        <v>8093</v>
      </c>
      <c r="C540">
        <v>3</v>
      </c>
      <c r="D540">
        <v>186</v>
      </c>
      <c r="E540">
        <v>252</v>
      </c>
      <c r="F540">
        <v>499</v>
      </c>
      <c r="G540">
        <v>99</v>
      </c>
      <c r="H540" s="238">
        <v>0.01</v>
      </c>
      <c r="J540" s="228">
        <v>0.01</v>
      </c>
      <c r="L540">
        <v>438</v>
      </c>
      <c r="M540">
        <v>64.52</v>
      </c>
    </row>
    <row r="541" spans="1:13">
      <c r="A541" s="216">
        <v>8401</v>
      </c>
      <c r="C541">
        <v>7</v>
      </c>
      <c r="D541">
        <v>308</v>
      </c>
      <c r="E541">
        <v>839</v>
      </c>
      <c r="F541">
        <v>866</v>
      </c>
      <c r="G541">
        <v>160</v>
      </c>
      <c r="H541" s="238">
        <v>0.01</v>
      </c>
      <c r="J541" s="228">
        <v>0.01</v>
      </c>
      <c r="L541">
        <v>438</v>
      </c>
      <c r="M541">
        <v>64.45</v>
      </c>
    </row>
    <row r="542" spans="1:13">
      <c r="A542" s="216">
        <v>8421</v>
      </c>
      <c r="C542">
        <v>8</v>
      </c>
      <c r="D542">
        <v>23</v>
      </c>
      <c r="E542">
        <v>895</v>
      </c>
      <c r="F542">
        <v>494</v>
      </c>
      <c r="G542">
        <v>506</v>
      </c>
      <c r="H542" s="238">
        <v>0.01</v>
      </c>
      <c r="J542" s="228">
        <v>0.01</v>
      </c>
      <c r="L542">
        <v>438</v>
      </c>
      <c r="M542">
        <v>64.38</v>
      </c>
    </row>
    <row r="543" spans="1:13">
      <c r="A543" s="216">
        <v>8905</v>
      </c>
      <c r="C543">
        <v>32</v>
      </c>
      <c r="D543">
        <v>1618</v>
      </c>
      <c r="E543">
        <v>1018</v>
      </c>
      <c r="F543">
        <v>2343</v>
      </c>
      <c r="G543">
        <v>1124</v>
      </c>
      <c r="H543" s="238">
        <v>0.01</v>
      </c>
      <c r="J543" s="228">
        <v>0.01</v>
      </c>
      <c r="L543">
        <v>438</v>
      </c>
      <c r="M543">
        <v>64.319999999999993</v>
      </c>
    </row>
    <row r="544" spans="1:13">
      <c r="A544" s="216">
        <v>2913</v>
      </c>
      <c r="C544">
        <v>58</v>
      </c>
      <c r="D544">
        <v>2016</v>
      </c>
      <c r="E544">
        <v>858</v>
      </c>
      <c r="F544">
        <v>16070</v>
      </c>
      <c r="G544">
        <v>96</v>
      </c>
      <c r="H544" s="238">
        <v>0.02</v>
      </c>
      <c r="J544" s="228">
        <v>0</v>
      </c>
      <c r="L544">
        <v>452</v>
      </c>
      <c r="M544">
        <v>64.25</v>
      </c>
    </row>
    <row r="545" spans="1:13">
      <c r="A545" s="216">
        <v>1236</v>
      </c>
      <c r="C545">
        <v>10</v>
      </c>
      <c r="D545">
        <v>214</v>
      </c>
      <c r="E545">
        <v>1844</v>
      </c>
      <c r="F545">
        <v>1655</v>
      </c>
      <c r="G545">
        <v>150</v>
      </c>
      <c r="H545" s="238">
        <v>0</v>
      </c>
      <c r="J545" s="228">
        <v>0.01</v>
      </c>
      <c r="L545">
        <v>486</v>
      </c>
      <c r="M545">
        <v>64.19</v>
      </c>
    </row>
    <row r="546" spans="1:13">
      <c r="A546" s="216">
        <v>6180</v>
      </c>
      <c r="C546">
        <v>18</v>
      </c>
      <c r="D546">
        <v>855</v>
      </c>
      <c r="E546">
        <v>2797</v>
      </c>
      <c r="F546">
        <v>2885</v>
      </c>
      <c r="G546">
        <v>501</v>
      </c>
      <c r="H546" s="238">
        <v>0</v>
      </c>
      <c r="J546" s="228">
        <v>0.01</v>
      </c>
      <c r="L546">
        <v>486</v>
      </c>
      <c r="M546">
        <v>64.12</v>
      </c>
    </row>
    <row r="547" spans="1:13">
      <c r="A547" s="216">
        <v>1235</v>
      </c>
      <c r="C547">
        <v>5</v>
      </c>
      <c r="D547">
        <v>747</v>
      </c>
      <c r="E547">
        <v>187</v>
      </c>
      <c r="F547">
        <v>1309</v>
      </c>
      <c r="G547">
        <v>1185</v>
      </c>
      <c r="H547" s="238">
        <v>0.01</v>
      </c>
      <c r="J547" s="228">
        <v>0</v>
      </c>
      <c r="L547">
        <v>503</v>
      </c>
      <c r="M547">
        <v>64.06</v>
      </c>
    </row>
    <row r="548" spans="1:13">
      <c r="A548" s="216">
        <v>1315</v>
      </c>
      <c r="C548">
        <v>24</v>
      </c>
      <c r="D548">
        <v>2597</v>
      </c>
      <c r="E548">
        <v>1845</v>
      </c>
      <c r="F548">
        <v>6768</v>
      </c>
      <c r="G548">
        <v>649</v>
      </c>
      <c r="H548" s="238">
        <v>0.01</v>
      </c>
      <c r="J548" s="228">
        <v>0</v>
      </c>
      <c r="L548">
        <v>503</v>
      </c>
      <c r="M548">
        <v>63.99</v>
      </c>
    </row>
    <row r="549" spans="1:13">
      <c r="A549" s="216">
        <v>1104</v>
      </c>
      <c r="C549">
        <v>51</v>
      </c>
      <c r="D549">
        <v>572</v>
      </c>
      <c r="E549">
        <v>5609</v>
      </c>
      <c r="F549">
        <v>15981</v>
      </c>
      <c r="G549">
        <v>1390</v>
      </c>
      <c r="H549" s="238">
        <v>0.01</v>
      </c>
      <c r="J549" s="228">
        <v>0</v>
      </c>
      <c r="L549">
        <v>503</v>
      </c>
      <c r="M549">
        <v>63.92</v>
      </c>
    </row>
    <row r="550" spans="1:13">
      <c r="A550" s="216">
        <v>1525</v>
      </c>
      <c r="C550">
        <v>6</v>
      </c>
      <c r="D550">
        <v>174</v>
      </c>
      <c r="E550">
        <v>492</v>
      </c>
      <c r="F550">
        <v>3337</v>
      </c>
      <c r="G550">
        <v>100</v>
      </c>
      <c r="H550" s="238">
        <v>0.01</v>
      </c>
      <c r="J550" s="228">
        <v>0</v>
      </c>
      <c r="L550">
        <v>503</v>
      </c>
      <c r="M550">
        <v>63.86</v>
      </c>
    </row>
    <row r="551" spans="1:13">
      <c r="A551" s="216">
        <v>1617</v>
      </c>
      <c r="C551">
        <v>9</v>
      </c>
      <c r="D551">
        <v>949</v>
      </c>
      <c r="E551">
        <v>721</v>
      </c>
      <c r="F551">
        <v>1646</v>
      </c>
      <c r="G551">
        <v>1051</v>
      </c>
      <c r="H551" s="238">
        <v>0.01</v>
      </c>
      <c r="J551" s="228">
        <v>0</v>
      </c>
      <c r="L551">
        <v>503</v>
      </c>
      <c r="M551">
        <v>63.79</v>
      </c>
    </row>
    <row r="552" spans="1:13">
      <c r="A552" s="216">
        <v>1810</v>
      </c>
      <c r="C552">
        <v>32</v>
      </c>
      <c r="D552">
        <v>1028</v>
      </c>
      <c r="E552">
        <v>4526</v>
      </c>
      <c r="F552">
        <v>5673</v>
      </c>
      <c r="G552">
        <v>2514</v>
      </c>
      <c r="H552" s="238">
        <v>0.01</v>
      </c>
      <c r="J552" s="228">
        <v>0</v>
      </c>
      <c r="L552">
        <v>503</v>
      </c>
      <c r="M552">
        <v>63.73</v>
      </c>
    </row>
    <row r="553" spans="1:13">
      <c r="A553" s="216">
        <v>2010</v>
      </c>
      <c r="C553">
        <v>61</v>
      </c>
      <c r="D553">
        <v>5711</v>
      </c>
      <c r="E553">
        <v>5163</v>
      </c>
      <c r="F553">
        <v>10995</v>
      </c>
      <c r="G553">
        <v>2556</v>
      </c>
      <c r="H553" s="238">
        <v>0.01</v>
      </c>
      <c r="J553" s="228">
        <v>0</v>
      </c>
      <c r="L553">
        <v>503</v>
      </c>
      <c r="M553">
        <v>63.66</v>
      </c>
    </row>
    <row r="554" spans="1:13">
      <c r="A554" s="216">
        <v>2013</v>
      </c>
      <c r="C554">
        <v>34</v>
      </c>
      <c r="D554">
        <v>278</v>
      </c>
      <c r="E554">
        <v>2270</v>
      </c>
      <c r="F554">
        <v>4367</v>
      </c>
      <c r="G554">
        <v>6160</v>
      </c>
      <c r="H554" s="238">
        <v>0.01</v>
      </c>
      <c r="J554" s="228">
        <v>0</v>
      </c>
      <c r="L554">
        <v>503</v>
      </c>
      <c r="M554">
        <v>63.59</v>
      </c>
    </row>
    <row r="555" spans="1:13">
      <c r="A555" s="216">
        <v>2201</v>
      </c>
      <c r="C555">
        <v>339</v>
      </c>
      <c r="D555">
        <v>3254</v>
      </c>
      <c r="E555">
        <v>33994</v>
      </c>
      <c r="F555">
        <v>81042</v>
      </c>
      <c r="G555">
        <v>87616</v>
      </c>
      <c r="H555" s="238">
        <v>0.01</v>
      </c>
      <c r="J555" s="228">
        <v>0</v>
      </c>
      <c r="L555">
        <v>503</v>
      </c>
      <c r="M555">
        <v>63.53</v>
      </c>
    </row>
    <row r="556" spans="1:13">
      <c r="A556" s="216">
        <v>2442</v>
      </c>
      <c r="C556">
        <v>11</v>
      </c>
      <c r="D556">
        <v>2006</v>
      </c>
      <c r="E556">
        <v>83</v>
      </c>
      <c r="F556">
        <v>2232</v>
      </c>
      <c r="G556">
        <v>1693</v>
      </c>
      <c r="H556" s="238">
        <v>0.01</v>
      </c>
      <c r="J556" s="228">
        <v>0</v>
      </c>
      <c r="L556">
        <v>503</v>
      </c>
      <c r="M556">
        <v>63.46</v>
      </c>
    </row>
    <row r="557" spans="1:13">
      <c r="A557" s="216">
        <v>3706</v>
      </c>
      <c r="C557">
        <v>111</v>
      </c>
      <c r="D557">
        <v>10730</v>
      </c>
      <c r="E557">
        <v>5387</v>
      </c>
      <c r="F557">
        <v>33628</v>
      </c>
      <c r="G557">
        <v>2839</v>
      </c>
      <c r="H557" s="238">
        <v>0.01</v>
      </c>
      <c r="J557" s="228">
        <v>0</v>
      </c>
      <c r="L557">
        <v>503</v>
      </c>
      <c r="M557">
        <v>63.4</v>
      </c>
    </row>
    <row r="558" spans="1:13">
      <c r="A558" s="216">
        <v>8070</v>
      </c>
      <c r="C558">
        <v>42</v>
      </c>
      <c r="D558">
        <v>2481</v>
      </c>
      <c r="E558">
        <v>2752</v>
      </c>
      <c r="F558">
        <v>6844</v>
      </c>
      <c r="G558">
        <v>2935</v>
      </c>
      <c r="H558" s="238">
        <v>0.01</v>
      </c>
      <c r="J558" s="228">
        <v>0</v>
      </c>
      <c r="L558">
        <v>503</v>
      </c>
      <c r="M558">
        <v>63.33</v>
      </c>
    </row>
    <row r="559" spans="1:13">
      <c r="A559" s="216">
        <v>8996</v>
      </c>
      <c r="C559">
        <v>10</v>
      </c>
      <c r="D559">
        <v>762</v>
      </c>
      <c r="E559">
        <v>979</v>
      </c>
      <c r="F559">
        <v>1760</v>
      </c>
      <c r="G559">
        <v>851</v>
      </c>
      <c r="H559" s="238">
        <v>0.01</v>
      </c>
      <c r="J559" s="228">
        <v>0</v>
      </c>
      <c r="L559">
        <v>503</v>
      </c>
      <c r="M559">
        <v>63.27</v>
      </c>
    </row>
    <row r="560" spans="1:13">
      <c r="A560" s="216">
        <v>3162</v>
      </c>
      <c r="C560">
        <v>3</v>
      </c>
      <c r="D560">
        <v>8</v>
      </c>
      <c r="E560">
        <v>513</v>
      </c>
      <c r="F560">
        <v>555</v>
      </c>
      <c r="G560">
        <v>380</v>
      </c>
      <c r="H560" s="238">
        <v>0.01</v>
      </c>
      <c r="J560" s="228">
        <v>0</v>
      </c>
      <c r="L560">
        <v>503</v>
      </c>
      <c r="M560">
        <v>63.2</v>
      </c>
    </row>
    <row r="561" spans="1:13">
      <c r="A561" s="216">
        <v>4430</v>
      </c>
      <c r="C561">
        <v>12</v>
      </c>
      <c r="D561">
        <v>423</v>
      </c>
      <c r="E561">
        <v>1471</v>
      </c>
      <c r="F561">
        <v>1962</v>
      </c>
      <c r="G561">
        <v>570</v>
      </c>
      <c r="H561" s="238">
        <v>0.01</v>
      </c>
      <c r="J561" s="228">
        <v>0</v>
      </c>
      <c r="L561">
        <v>503</v>
      </c>
      <c r="M561">
        <v>63.13</v>
      </c>
    </row>
    <row r="562" spans="1:13">
      <c r="A562" s="216">
        <v>6188</v>
      </c>
      <c r="C562">
        <v>51</v>
      </c>
      <c r="D562">
        <v>3476</v>
      </c>
      <c r="E562">
        <v>1852</v>
      </c>
      <c r="F562">
        <v>8637</v>
      </c>
      <c r="G562">
        <v>5625</v>
      </c>
      <c r="H562" s="238">
        <v>0.01</v>
      </c>
      <c r="J562" s="228">
        <v>0</v>
      </c>
      <c r="L562">
        <v>503</v>
      </c>
      <c r="M562">
        <v>63.07</v>
      </c>
    </row>
    <row r="563" spans="1:13">
      <c r="A563" s="216">
        <v>1325</v>
      </c>
      <c r="H563" s="238">
        <v>0</v>
      </c>
      <c r="J563" s="228">
        <v>0</v>
      </c>
      <c r="L563">
        <v>551</v>
      </c>
      <c r="M563">
        <v>63</v>
      </c>
    </row>
    <row r="564" spans="1:13">
      <c r="A564" s="216">
        <v>1316</v>
      </c>
      <c r="C564">
        <v>-19</v>
      </c>
      <c r="H564" s="238">
        <v>0</v>
      </c>
      <c r="J564" s="228">
        <v>0</v>
      </c>
      <c r="L564">
        <v>551</v>
      </c>
      <c r="M564">
        <v>62.94</v>
      </c>
    </row>
    <row r="565" spans="1:13">
      <c r="A565" s="216">
        <v>1108</v>
      </c>
      <c r="H565" s="238">
        <v>0</v>
      </c>
      <c r="J565" s="228">
        <v>0</v>
      </c>
      <c r="L565">
        <v>551</v>
      </c>
      <c r="M565">
        <v>62.87</v>
      </c>
    </row>
    <row r="566" spans="1:13">
      <c r="A566" s="216">
        <v>1309</v>
      </c>
      <c r="H566" s="238">
        <v>0</v>
      </c>
      <c r="J566" s="228">
        <v>0</v>
      </c>
      <c r="L566">
        <v>551</v>
      </c>
      <c r="M566">
        <v>62.8</v>
      </c>
    </row>
    <row r="567" spans="1:13">
      <c r="A567" s="216">
        <v>1321</v>
      </c>
      <c r="C567">
        <v>3</v>
      </c>
      <c r="D567">
        <v>297</v>
      </c>
      <c r="E567">
        <v>7854</v>
      </c>
      <c r="F567">
        <v>5028</v>
      </c>
      <c r="G567">
        <v>448</v>
      </c>
      <c r="H567" s="238">
        <v>0</v>
      </c>
      <c r="J567" s="228">
        <v>0</v>
      </c>
      <c r="L567">
        <v>551</v>
      </c>
      <c r="M567">
        <v>62.74</v>
      </c>
    </row>
    <row r="568" spans="1:13">
      <c r="A568" s="216">
        <v>1313</v>
      </c>
      <c r="C568">
        <v>-126</v>
      </c>
      <c r="H568" s="238">
        <v>0</v>
      </c>
      <c r="J568" s="228">
        <v>0</v>
      </c>
      <c r="L568">
        <v>551</v>
      </c>
      <c r="M568">
        <v>62.67</v>
      </c>
    </row>
    <row r="569" spans="1:13">
      <c r="A569" s="216">
        <v>1304</v>
      </c>
      <c r="C569">
        <v>60</v>
      </c>
      <c r="D569">
        <v>15037</v>
      </c>
      <c r="E569">
        <v>22091</v>
      </c>
      <c r="F569">
        <v>30825</v>
      </c>
      <c r="G569">
        <v>9707</v>
      </c>
      <c r="H569" s="238">
        <v>0</v>
      </c>
      <c r="J569" s="228">
        <v>0</v>
      </c>
      <c r="L569">
        <v>551</v>
      </c>
      <c r="M569">
        <v>62.61</v>
      </c>
    </row>
    <row r="570" spans="1:13">
      <c r="A570" s="216">
        <v>1314</v>
      </c>
      <c r="H570" s="238">
        <v>0</v>
      </c>
      <c r="J570" s="228">
        <v>0</v>
      </c>
      <c r="L570">
        <v>551</v>
      </c>
      <c r="M570">
        <v>62.54</v>
      </c>
    </row>
    <row r="571" spans="1:13">
      <c r="A571" s="216">
        <v>1103</v>
      </c>
      <c r="C571">
        <v>-84</v>
      </c>
      <c r="H571" s="238">
        <v>0</v>
      </c>
      <c r="J571" s="228">
        <v>0</v>
      </c>
      <c r="L571">
        <v>551</v>
      </c>
      <c r="M571">
        <v>62.48</v>
      </c>
    </row>
    <row r="572" spans="1:13">
      <c r="A572" s="216">
        <v>1109</v>
      </c>
      <c r="C572">
        <v>-15</v>
      </c>
      <c r="H572" s="238">
        <v>0</v>
      </c>
      <c r="J572" s="228">
        <v>0</v>
      </c>
      <c r="L572">
        <v>551</v>
      </c>
      <c r="M572">
        <v>62.41</v>
      </c>
    </row>
    <row r="573" spans="1:13">
      <c r="A573" s="216">
        <v>1110</v>
      </c>
      <c r="C573">
        <v>12</v>
      </c>
      <c r="D573">
        <v>1544</v>
      </c>
      <c r="E573">
        <v>343</v>
      </c>
      <c r="F573">
        <v>8597</v>
      </c>
      <c r="G573">
        <v>0</v>
      </c>
      <c r="H573" s="238">
        <v>0</v>
      </c>
      <c r="J573" s="228">
        <v>0</v>
      </c>
      <c r="L573">
        <v>551</v>
      </c>
      <c r="M573">
        <v>62.34</v>
      </c>
    </row>
    <row r="574" spans="1:13">
      <c r="A574" s="216">
        <v>1201</v>
      </c>
      <c r="H574" s="238">
        <v>0</v>
      </c>
      <c r="J574" s="228">
        <v>0</v>
      </c>
      <c r="L574">
        <v>551</v>
      </c>
      <c r="M574">
        <v>62.28</v>
      </c>
    </row>
    <row r="575" spans="1:13">
      <c r="A575" s="216">
        <v>1203</v>
      </c>
      <c r="H575" s="238">
        <v>0</v>
      </c>
      <c r="J575" s="228">
        <v>0</v>
      </c>
      <c r="L575">
        <v>551</v>
      </c>
      <c r="M575">
        <v>62.21</v>
      </c>
    </row>
    <row r="576" spans="1:13">
      <c r="A576" s="216">
        <v>1213</v>
      </c>
      <c r="C576">
        <v>18</v>
      </c>
      <c r="D576">
        <v>325</v>
      </c>
      <c r="E576">
        <v>308</v>
      </c>
      <c r="F576">
        <v>692</v>
      </c>
      <c r="G576">
        <v>0</v>
      </c>
      <c r="H576" s="238">
        <v>0</v>
      </c>
      <c r="J576" s="228">
        <v>0</v>
      </c>
      <c r="L576">
        <v>551</v>
      </c>
      <c r="M576">
        <v>62.15</v>
      </c>
    </row>
    <row r="577" spans="1:13">
      <c r="A577" s="216">
        <v>1217</v>
      </c>
      <c r="H577" s="238">
        <v>0</v>
      </c>
      <c r="J577" s="228">
        <v>0</v>
      </c>
      <c r="L577">
        <v>551</v>
      </c>
      <c r="M577">
        <v>62.08</v>
      </c>
    </row>
    <row r="578" spans="1:13">
      <c r="A578" s="216">
        <v>1324</v>
      </c>
      <c r="C578">
        <v>19</v>
      </c>
      <c r="D578">
        <v>627</v>
      </c>
      <c r="E578">
        <v>369</v>
      </c>
      <c r="F578">
        <v>984</v>
      </c>
      <c r="G578">
        <v>0</v>
      </c>
      <c r="H578" s="238">
        <v>0</v>
      </c>
      <c r="J578" s="228">
        <v>0</v>
      </c>
      <c r="L578">
        <v>551</v>
      </c>
      <c r="M578">
        <v>62.01</v>
      </c>
    </row>
    <row r="579" spans="1:13">
      <c r="A579" s="216">
        <v>1339</v>
      </c>
      <c r="H579" s="238">
        <v>0</v>
      </c>
      <c r="J579" s="228">
        <v>0</v>
      </c>
      <c r="L579">
        <v>551</v>
      </c>
      <c r="M579">
        <v>61.95</v>
      </c>
    </row>
    <row r="580" spans="1:13">
      <c r="A580" s="216">
        <v>1402</v>
      </c>
      <c r="H580" s="238">
        <v>0</v>
      </c>
      <c r="J580" s="228">
        <v>0</v>
      </c>
      <c r="L580">
        <v>551</v>
      </c>
      <c r="M580">
        <v>61.88</v>
      </c>
    </row>
    <row r="581" spans="1:13">
      <c r="A581" s="216">
        <v>1410</v>
      </c>
      <c r="C581">
        <v>37</v>
      </c>
      <c r="D581">
        <v>586</v>
      </c>
      <c r="E581">
        <v>296</v>
      </c>
      <c r="F581">
        <v>1217</v>
      </c>
      <c r="G581">
        <v>0</v>
      </c>
      <c r="H581" s="238">
        <v>0</v>
      </c>
      <c r="J581" s="228">
        <v>0</v>
      </c>
      <c r="L581">
        <v>551</v>
      </c>
      <c r="M581">
        <v>61.82</v>
      </c>
    </row>
    <row r="582" spans="1:13">
      <c r="A582" s="216">
        <v>1413</v>
      </c>
      <c r="H582" s="238">
        <v>0</v>
      </c>
      <c r="J582" s="228">
        <v>0</v>
      </c>
      <c r="L582">
        <v>551</v>
      </c>
      <c r="M582">
        <v>61.75</v>
      </c>
    </row>
    <row r="583" spans="1:13">
      <c r="A583" s="216">
        <v>1414</v>
      </c>
      <c r="C583">
        <v>-2</v>
      </c>
      <c r="H583" s="238">
        <v>0</v>
      </c>
      <c r="J583" s="228">
        <v>0</v>
      </c>
      <c r="L583">
        <v>551</v>
      </c>
      <c r="M583">
        <v>61.69</v>
      </c>
    </row>
    <row r="584" spans="1:13">
      <c r="A584" s="216">
        <v>1416</v>
      </c>
      <c r="H584" s="238">
        <v>0</v>
      </c>
      <c r="J584" s="228">
        <v>0</v>
      </c>
      <c r="L584">
        <v>551</v>
      </c>
      <c r="M584">
        <v>61.62</v>
      </c>
    </row>
    <row r="585" spans="1:13">
      <c r="A585" s="216">
        <v>1417</v>
      </c>
      <c r="H585" s="238">
        <v>0</v>
      </c>
      <c r="J585" s="228">
        <v>0</v>
      </c>
      <c r="L585">
        <v>551</v>
      </c>
      <c r="M585">
        <v>61.55</v>
      </c>
    </row>
    <row r="586" spans="1:13">
      <c r="A586" s="216">
        <v>1418</v>
      </c>
      <c r="H586" s="238">
        <v>0</v>
      </c>
      <c r="J586" s="228">
        <v>0</v>
      </c>
      <c r="L586">
        <v>551</v>
      </c>
      <c r="M586">
        <v>61.49</v>
      </c>
    </row>
    <row r="587" spans="1:13">
      <c r="A587" s="216">
        <v>1419</v>
      </c>
      <c r="C587">
        <v>-18</v>
      </c>
      <c r="H587" s="238">
        <v>0</v>
      </c>
      <c r="J587" s="228">
        <v>0</v>
      </c>
      <c r="L587">
        <v>551</v>
      </c>
      <c r="M587">
        <v>61.42</v>
      </c>
    </row>
    <row r="588" spans="1:13">
      <c r="A588" s="216">
        <v>1423</v>
      </c>
      <c r="C588">
        <v>-16</v>
      </c>
      <c r="H588" s="238">
        <v>0</v>
      </c>
      <c r="J588" s="228">
        <v>0</v>
      </c>
      <c r="L588">
        <v>551</v>
      </c>
      <c r="M588">
        <v>61.36</v>
      </c>
    </row>
    <row r="589" spans="1:13">
      <c r="A589" s="216">
        <v>1432</v>
      </c>
      <c r="H589" s="238">
        <v>0</v>
      </c>
      <c r="J589" s="228">
        <v>0</v>
      </c>
      <c r="L589">
        <v>551</v>
      </c>
      <c r="M589">
        <v>61.29</v>
      </c>
    </row>
    <row r="590" spans="1:13">
      <c r="A590" s="216">
        <v>1435</v>
      </c>
      <c r="C590">
        <v>-1</v>
      </c>
      <c r="H590" s="238">
        <v>0</v>
      </c>
      <c r="J590" s="228">
        <v>0</v>
      </c>
      <c r="L590">
        <v>551</v>
      </c>
      <c r="M590">
        <v>61.22</v>
      </c>
    </row>
    <row r="591" spans="1:13">
      <c r="A591" s="216">
        <v>1436</v>
      </c>
      <c r="H591" s="238">
        <v>0</v>
      </c>
      <c r="J591" s="228">
        <v>0</v>
      </c>
      <c r="L591">
        <v>551</v>
      </c>
      <c r="M591">
        <v>61.16</v>
      </c>
    </row>
    <row r="592" spans="1:13">
      <c r="A592" s="216">
        <v>1437</v>
      </c>
      <c r="H592" s="238">
        <v>0</v>
      </c>
      <c r="J592" s="228">
        <v>0</v>
      </c>
      <c r="L592">
        <v>551</v>
      </c>
      <c r="M592">
        <v>61.09</v>
      </c>
    </row>
    <row r="593" spans="1:13">
      <c r="A593" s="216">
        <v>1438</v>
      </c>
      <c r="H593" s="238">
        <v>0</v>
      </c>
      <c r="J593" s="228">
        <v>0</v>
      </c>
      <c r="L593">
        <v>551</v>
      </c>
      <c r="M593">
        <v>61.03</v>
      </c>
    </row>
    <row r="594" spans="1:13">
      <c r="A594" s="216">
        <v>1439</v>
      </c>
      <c r="H594" s="238">
        <v>0</v>
      </c>
      <c r="J594" s="228">
        <v>0</v>
      </c>
      <c r="L594">
        <v>551</v>
      </c>
      <c r="M594">
        <v>60.96</v>
      </c>
    </row>
    <row r="595" spans="1:13">
      <c r="A595" s="216">
        <v>1441</v>
      </c>
      <c r="C595">
        <v>-6</v>
      </c>
      <c r="H595" s="238">
        <v>0</v>
      </c>
      <c r="J595" s="228">
        <v>0</v>
      </c>
      <c r="L595">
        <v>551</v>
      </c>
      <c r="M595">
        <v>60.9</v>
      </c>
    </row>
    <row r="596" spans="1:13">
      <c r="A596" s="216">
        <v>1443</v>
      </c>
      <c r="C596">
        <v>-16</v>
      </c>
      <c r="H596" s="238">
        <v>0</v>
      </c>
      <c r="J596" s="228">
        <v>0</v>
      </c>
      <c r="L596">
        <v>551</v>
      </c>
      <c r="M596">
        <v>60.83</v>
      </c>
    </row>
    <row r="597" spans="1:13">
      <c r="A597" s="216">
        <v>1444</v>
      </c>
      <c r="H597" s="238">
        <v>0</v>
      </c>
      <c r="J597" s="228">
        <v>0</v>
      </c>
      <c r="L597">
        <v>551</v>
      </c>
      <c r="M597">
        <v>60.76</v>
      </c>
    </row>
    <row r="598" spans="1:13">
      <c r="A598" s="216">
        <v>1445</v>
      </c>
      <c r="H598" s="238">
        <v>0</v>
      </c>
      <c r="J598" s="228">
        <v>0</v>
      </c>
      <c r="L598">
        <v>551</v>
      </c>
      <c r="M598">
        <v>60.7</v>
      </c>
    </row>
    <row r="599" spans="1:13">
      <c r="A599" s="216">
        <v>1446</v>
      </c>
      <c r="H599" s="238">
        <v>0</v>
      </c>
      <c r="J599" s="228">
        <v>0</v>
      </c>
      <c r="L599">
        <v>551</v>
      </c>
      <c r="M599">
        <v>60.63</v>
      </c>
    </row>
    <row r="600" spans="1:13">
      <c r="A600" s="216">
        <v>1447</v>
      </c>
      <c r="H600" s="238">
        <v>0</v>
      </c>
      <c r="J600" s="228">
        <v>0</v>
      </c>
      <c r="L600">
        <v>551</v>
      </c>
      <c r="M600">
        <v>60.57</v>
      </c>
    </row>
    <row r="601" spans="1:13">
      <c r="A601" s="216">
        <v>1449</v>
      </c>
      <c r="H601" s="238">
        <v>0</v>
      </c>
      <c r="J601" s="228">
        <v>0</v>
      </c>
      <c r="L601">
        <v>551</v>
      </c>
      <c r="M601">
        <v>60.5</v>
      </c>
    </row>
    <row r="602" spans="1:13">
      <c r="A602" s="216">
        <v>1452</v>
      </c>
      <c r="C602">
        <v>38</v>
      </c>
      <c r="D602">
        <v>1391</v>
      </c>
      <c r="E602">
        <v>558</v>
      </c>
      <c r="F602">
        <v>2426</v>
      </c>
      <c r="G602">
        <v>0</v>
      </c>
      <c r="H602" s="238">
        <v>0</v>
      </c>
      <c r="J602" s="228">
        <v>0</v>
      </c>
      <c r="L602">
        <v>551</v>
      </c>
      <c r="M602">
        <v>60.43</v>
      </c>
    </row>
    <row r="603" spans="1:13">
      <c r="A603" s="216">
        <v>1453</v>
      </c>
      <c r="C603">
        <v>-14</v>
      </c>
      <c r="H603" s="238">
        <v>0</v>
      </c>
      <c r="J603" s="228">
        <v>0</v>
      </c>
      <c r="L603">
        <v>551</v>
      </c>
      <c r="M603">
        <v>60.37</v>
      </c>
    </row>
    <row r="604" spans="1:13">
      <c r="A604" s="216">
        <v>1455</v>
      </c>
      <c r="H604" s="238">
        <v>0</v>
      </c>
      <c r="J604" s="228">
        <v>0</v>
      </c>
      <c r="L604">
        <v>551</v>
      </c>
      <c r="M604">
        <v>60.3</v>
      </c>
    </row>
    <row r="605" spans="1:13">
      <c r="A605" s="216">
        <v>1457</v>
      </c>
      <c r="H605" s="238">
        <v>0</v>
      </c>
      <c r="J605" s="228">
        <v>0</v>
      </c>
      <c r="L605">
        <v>551</v>
      </c>
      <c r="M605">
        <v>60.24</v>
      </c>
    </row>
    <row r="606" spans="1:13">
      <c r="A606" s="216">
        <v>1463</v>
      </c>
      <c r="C606">
        <v>3</v>
      </c>
      <c r="D606">
        <v>880</v>
      </c>
      <c r="E606">
        <v>399</v>
      </c>
      <c r="F606">
        <v>2027</v>
      </c>
      <c r="G606">
        <v>210</v>
      </c>
      <c r="H606" s="238">
        <v>0</v>
      </c>
      <c r="J606" s="228">
        <v>0</v>
      </c>
      <c r="L606">
        <v>551</v>
      </c>
      <c r="M606">
        <v>60.17</v>
      </c>
    </row>
    <row r="607" spans="1:13">
      <c r="A607" s="216">
        <v>1466</v>
      </c>
      <c r="C607">
        <v>-2</v>
      </c>
      <c r="H607" s="238">
        <v>0</v>
      </c>
      <c r="J607" s="228">
        <v>0</v>
      </c>
      <c r="L607">
        <v>551</v>
      </c>
      <c r="M607">
        <v>60.11</v>
      </c>
    </row>
    <row r="608" spans="1:13">
      <c r="A608" s="216">
        <v>1467</v>
      </c>
      <c r="H608" s="238">
        <v>0</v>
      </c>
      <c r="J608" s="228">
        <v>0</v>
      </c>
      <c r="L608">
        <v>551</v>
      </c>
      <c r="M608">
        <v>60.04</v>
      </c>
    </row>
    <row r="609" spans="1:13">
      <c r="A609" s="216">
        <v>1468</v>
      </c>
      <c r="H609" s="238">
        <v>0</v>
      </c>
      <c r="J609" s="228">
        <v>0</v>
      </c>
      <c r="L609">
        <v>551</v>
      </c>
      <c r="M609">
        <v>59.97</v>
      </c>
    </row>
    <row r="610" spans="1:13">
      <c r="A610" s="216">
        <v>1469</v>
      </c>
      <c r="C610">
        <v>-5</v>
      </c>
      <c r="H610" s="238">
        <v>0</v>
      </c>
      <c r="J610" s="228">
        <v>0</v>
      </c>
      <c r="L610">
        <v>551</v>
      </c>
      <c r="M610">
        <v>59.91</v>
      </c>
    </row>
    <row r="611" spans="1:13">
      <c r="A611" s="216">
        <v>1470</v>
      </c>
      <c r="C611">
        <v>16</v>
      </c>
      <c r="D611">
        <v>540</v>
      </c>
      <c r="E611">
        <v>377</v>
      </c>
      <c r="F611">
        <v>938</v>
      </c>
      <c r="G611">
        <v>0</v>
      </c>
      <c r="H611" s="238">
        <v>0</v>
      </c>
      <c r="J611" s="228">
        <v>0</v>
      </c>
      <c r="L611">
        <v>551</v>
      </c>
      <c r="M611">
        <v>59.84</v>
      </c>
    </row>
    <row r="612" spans="1:13">
      <c r="A612" s="216">
        <v>1471</v>
      </c>
      <c r="C612">
        <v>-88</v>
      </c>
      <c r="H612" s="238">
        <v>0</v>
      </c>
      <c r="J612" s="228">
        <v>0</v>
      </c>
      <c r="L612">
        <v>551</v>
      </c>
      <c r="M612">
        <v>59.78</v>
      </c>
    </row>
    <row r="613" spans="1:13">
      <c r="A613" s="216">
        <v>1472</v>
      </c>
      <c r="C613">
        <v>-7</v>
      </c>
      <c r="H613" s="238">
        <v>0</v>
      </c>
      <c r="J613" s="228">
        <v>0</v>
      </c>
      <c r="L613">
        <v>551</v>
      </c>
      <c r="M613">
        <v>59.71</v>
      </c>
    </row>
    <row r="614" spans="1:13">
      <c r="A614" s="216">
        <v>1473</v>
      </c>
      <c r="H614" s="238">
        <v>0</v>
      </c>
      <c r="J614" s="228">
        <v>0</v>
      </c>
      <c r="L614">
        <v>551</v>
      </c>
      <c r="M614">
        <v>59.64</v>
      </c>
    </row>
    <row r="615" spans="1:13">
      <c r="A615" s="216">
        <v>1474</v>
      </c>
      <c r="H615" s="238">
        <v>0</v>
      </c>
      <c r="J615" s="228">
        <v>0</v>
      </c>
      <c r="L615">
        <v>551</v>
      </c>
      <c r="M615">
        <v>59.58</v>
      </c>
    </row>
    <row r="616" spans="1:13">
      <c r="A616" s="216">
        <v>1475</v>
      </c>
      <c r="H616" s="238">
        <v>0</v>
      </c>
      <c r="J616" s="228">
        <v>0</v>
      </c>
      <c r="L616">
        <v>551</v>
      </c>
      <c r="M616">
        <v>59.51</v>
      </c>
    </row>
    <row r="617" spans="1:13">
      <c r="A617" s="216">
        <v>1506</v>
      </c>
      <c r="H617" s="238">
        <v>0</v>
      </c>
      <c r="J617" s="228">
        <v>0</v>
      </c>
      <c r="L617">
        <v>551</v>
      </c>
      <c r="M617">
        <v>59.45</v>
      </c>
    </row>
    <row r="618" spans="1:13">
      <c r="A618" s="216">
        <v>1507</v>
      </c>
      <c r="C618">
        <v>686</v>
      </c>
      <c r="D618">
        <v>3878</v>
      </c>
      <c r="E618">
        <v>5854</v>
      </c>
      <c r="F618">
        <v>12122</v>
      </c>
      <c r="G618">
        <v>0</v>
      </c>
      <c r="H618" s="238">
        <v>0</v>
      </c>
      <c r="J618" s="228">
        <v>0</v>
      </c>
      <c r="L618">
        <v>551</v>
      </c>
      <c r="M618">
        <v>59.38</v>
      </c>
    </row>
    <row r="619" spans="1:13">
      <c r="A619" s="216">
        <v>1512</v>
      </c>
      <c r="C619">
        <v>-32</v>
      </c>
      <c r="H619" s="238">
        <v>0</v>
      </c>
      <c r="J619" s="228">
        <v>0</v>
      </c>
      <c r="L619">
        <v>551</v>
      </c>
      <c r="M619">
        <v>59.32</v>
      </c>
    </row>
    <row r="620" spans="1:13">
      <c r="A620" s="216">
        <v>1514</v>
      </c>
      <c r="H620" s="238">
        <v>0</v>
      </c>
      <c r="J620" s="228">
        <v>0</v>
      </c>
      <c r="L620">
        <v>551</v>
      </c>
      <c r="M620">
        <v>59.25</v>
      </c>
    </row>
    <row r="621" spans="1:13">
      <c r="A621" s="216">
        <v>1516</v>
      </c>
      <c r="C621">
        <v>-2</v>
      </c>
      <c r="H621" s="238">
        <v>0</v>
      </c>
      <c r="J621" s="228">
        <v>0</v>
      </c>
      <c r="L621">
        <v>551</v>
      </c>
      <c r="M621">
        <v>59.18</v>
      </c>
    </row>
    <row r="622" spans="1:13">
      <c r="A622" s="216">
        <v>1517</v>
      </c>
      <c r="C622">
        <v>17</v>
      </c>
      <c r="D622">
        <v>2526</v>
      </c>
      <c r="E622">
        <v>1547</v>
      </c>
      <c r="F622">
        <v>3711</v>
      </c>
      <c r="G622">
        <v>0</v>
      </c>
      <c r="H622" s="238">
        <v>0</v>
      </c>
      <c r="J622" s="228">
        <v>0</v>
      </c>
      <c r="L622">
        <v>551</v>
      </c>
      <c r="M622">
        <v>59.12</v>
      </c>
    </row>
    <row r="623" spans="1:13">
      <c r="A623" s="216">
        <v>1521</v>
      </c>
      <c r="H623" s="238">
        <v>0</v>
      </c>
      <c r="J623" s="228">
        <v>0</v>
      </c>
      <c r="L623">
        <v>551</v>
      </c>
      <c r="M623">
        <v>59.05</v>
      </c>
    </row>
    <row r="624" spans="1:13">
      <c r="A624" s="216">
        <v>1528</v>
      </c>
      <c r="H624" s="238">
        <v>0</v>
      </c>
      <c r="J624" s="228">
        <v>0</v>
      </c>
      <c r="L624">
        <v>551</v>
      </c>
      <c r="M624">
        <v>58.99</v>
      </c>
    </row>
    <row r="625" spans="1:13">
      <c r="A625" s="216">
        <v>1529</v>
      </c>
      <c r="H625" s="238">
        <v>0</v>
      </c>
      <c r="J625" s="228">
        <v>0</v>
      </c>
      <c r="L625">
        <v>551</v>
      </c>
      <c r="M625">
        <v>58.92</v>
      </c>
    </row>
    <row r="626" spans="1:13">
      <c r="A626" s="216">
        <v>1531</v>
      </c>
      <c r="H626" s="238">
        <v>0</v>
      </c>
      <c r="J626" s="228">
        <v>0</v>
      </c>
      <c r="L626">
        <v>551</v>
      </c>
      <c r="M626">
        <v>58.85</v>
      </c>
    </row>
    <row r="627" spans="1:13">
      <c r="A627" s="216">
        <v>1532</v>
      </c>
      <c r="H627" s="238">
        <v>0</v>
      </c>
      <c r="J627" s="228">
        <v>0</v>
      </c>
      <c r="L627">
        <v>551</v>
      </c>
      <c r="M627">
        <v>58.79</v>
      </c>
    </row>
    <row r="628" spans="1:13">
      <c r="A628" s="216">
        <v>1533</v>
      </c>
      <c r="H628" s="238">
        <v>0</v>
      </c>
      <c r="J628" s="228">
        <v>0</v>
      </c>
      <c r="L628">
        <v>551</v>
      </c>
      <c r="M628">
        <v>58.72</v>
      </c>
    </row>
    <row r="629" spans="1:13">
      <c r="A629" s="216">
        <v>1538</v>
      </c>
      <c r="H629" s="238">
        <v>0</v>
      </c>
      <c r="J629" s="228">
        <v>0</v>
      </c>
      <c r="L629">
        <v>551</v>
      </c>
      <c r="M629">
        <v>58.66</v>
      </c>
    </row>
    <row r="630" spans="1:13">
      <c r="A630" s="216">
        <v>1540</v>
      </c>
      <c r="C630">
        <v>1</v>
      </c>
      <c r="D630">
        <v>1009</v>
      </c>
      <c r="E630">
        <v>369</v>
      </c>
      <c r="F630">
        <v>1393</v>
      </c>
      <c r="G630">
        <v>0</v>
      </c>
      <c r="H630" s="238">
        <v>0</v>
      </c>
      <c r="J630" s="228">
        <v>0</v>
      </c>
      <c r="L630">
        <v>551</v>
      </c>
      <c r="M630">
        <v>58.59</v>
      </c>
    </row>
    <row r="631" spans="1:13">
      <c r="A631" s="216">
        <v>1592</v>
      </c>
      <c r="H631" s="238">
        <v>0</v>
      </c>
      <c r="J631" s="228">
        <v>0</v>
      </c>
      <c r="L631">
        <v>551</v>
      </c>
      <c r="M631">
        <v>58.53</v>
      </c>
    </row>
    <row r="632" spans="1:13">
      <c r="A632" s="216">
        <v>1603</v>
      </c>
      <c r="H632" s="238">
        <v>0</v>
      </c>
      <c r="J632" s="228">
        <v>0</v>
      </c>
      <c r="L632">
        <v>551</v>
      </c>
      <c r="M632">
        <v>58.46</v>
      </c>
    </row>
    <row r="633" spans="1:13">
      <c r="A633" s="216">
        <v>1608</v>
      </c>
      <c r="H633" s="238">
        <v>0</v>
      </c>
      <c r="J633" s="228">
        <v>0</v>
      </c>
      <c r="L633">
        <v>551</v>
      </c>
      <c r="M633">
        <v>58.39</v>
      </c>
    </row>
    <row r="634" spans="1:13">
      <c r="A634" s="216">
        <v>1609</v>
      </c>
      <c r="H634" s="238">
        <v>0</v>
      </c>
      <c r="J634" s="228">
        <v>0</v>
      </c>
      <c r="L634">
        <v>551</v>
      </c>
      <c r="M634">
        <v>58.33</v>
      </c>
    </row>
    <row r="635" spans="1:13">
      <c r="A635" s="216">
        <v>1611</v>
      </c>
      <c r="H635" s="238">
        <v>0</v>
      </c>
      <c r="J635" s="228">
        <v>0</v>
      </c>
      <c r="L635">
        <v>551</v>
      </c>
      <c r="M635">
        <v>58.26</v>
      </c>
    </row>
    <row r="636" spans="1:13">
      <c r="A636" s="216">
        <v>1612</v>
      </c>
      <c r="C636">
        <v>-30</v>
      </c>
      <c r="H636" s="238">
        <v>0</v>
      </c>
      <c r="J636" s="228">
        <v>0</v>
      </c>
      <c r="L636">
        <v>551</v>
      </c>
      <c r="M636">
        <v>58.2</v>
      </c>
    </row>
    <row r="637" spans="1:13">
      <c r="A637" s="216">
        <v>1613</v>
      </c>
      <c r="H637" s="238">
        <v>0</v>
      </c>
      <c r="J637" s="228">
        <v>0</v>
      </c>
      <c r="L637">
        <v>551</v>
      </c>
      <c r="M637">
        <v>58.13</v>
      </c>
    </row>
    <row r="638" spans="1:13">
      <c r="A638" s="216">
        <v>1615</v>
      </c>
      <c r="H638" s="238">
        <v>0</v>
      </c>
      <c r="J638" s="228">
        <v>0</v>
      </c>
      <c r="L638">
        <v>551</v>
      </c>
      <c r="M638">
        <v>58.06</v>
      </c>
    </row>
    <row r="639" spans="1:13">
      <c r="A639" s="216">
        <v>1616</v>
      </c>
      <c r="H639" s="238">
        <v>0</v>
      </c>
      <c r="J639" s="228">
        <v>0</v>
      </c>
      <c r="L639">
        <v>551</v>
      </c>
      <c r="M639">
        <v>58</v>
      </c>
    </row>
    <row r="640" spans="1:13">
      <c r="A640" s="216">
        <v>1618</v>
      </c>
      <c r="H640" s="238">
        <v>0</v>
      </c>
      <c r="J640" s="228">
        <v>0</v>
      </c>
      <c r="L640">
        <v>551</v>
      </c>
      <c r="M640">
        <v>57.93</v>
      </c>
    </row>
    <row r="641" spans="1:13">
      <c r="A641" s="216">
        <v>1626</v>
      </c>
      <c r="C641">
        <v>-177</v>
      </c>
      <c r="H641" s="238">
        <v>0</v>
      </c>
      <c r="J641" s="228">
        <v>0</v>
      </c>
      <c r="L641">
        <v>551</v>
      </c>
      <c r="M641">
        <v>57.87</v>
      </c>
    </row>
    <row r="642" spans="1:13">
      <c r="A642" s="216">
        <v>1702</v>
      </c>
      <c r="H642" s="238">
        <v>0</v>
      </c>
      <c r="J642" s="228">
        <v>0</v>
      </c>
      <c r="L642">
        <v>551</v>
      </c>
      <c r="M642">
        <v>57.8</v>
      </c>
    </row>
    <row r="643" spans="1:13">
      <c r="A643" s="216">
        <v>1704</v>
      </c>
      <c r="H643" s="238">
        <v>0</v>
      </c>
      <c r="J643" s="228">
        <v>0</v>
      </c>
      <c r="L643">
        <v>551</v>
      </c>
      <c r="M643">
        <v>57.74</v>
      </c>
    </row>
    <row r="644" spans="1:13">
      <c r="A644" s="216">
        <v>1709</v>
      </c>
      <c r="H644" s="238">
        <v>0</v>
      </c>
      <c r="J644" s="228">
        <v>0</v>
      </c>
      <c r="L644">
        <v>551</v>
      </c>
      <c r="M644">
        <v>57.67</v>
      </c>
    </row>
    <row r="645" spans="1:13">
      <c r="A645" s="216">
        <v>1710</v>
      </c>
      <c r="H645" s="238">
        <v>0</v>
      </c>
      <c r="J645" s="228">
        <v>0</v>
      </c>
      <c r="L645">
        <v>551</v>
      </c>
      <c r="M645">
        <v>57.6</v>
      </c>
    </row>
    <row r="646" spans="1:13">
      <c r="A646" s="216">
        <v>1712</v>
      </c>
      <c r="H646" s="238">
        <v>0</v>
      </c>
      <c r="J646" s="228">
        <v>0</v>
      </c>
      <c r="L646">
        <v>551</v>
      </c>
      <c r="M646">
        <v>57.54</v>
      </c>
    </row>
    <row r="647" spans="1:13">
      <c r="A647" s="216">
        <v>1713</v>
      </c>
      <c r="C647">
        <v>8</v>
      </c>
      <c r="D647">
        <v>1059</v>
      </c>
      <c r="E647">
        <v>408</v>
      </c>
      <c r="F647">
        <v>2223</v>
      </c>
      <c r="G647">
        <v>0</v>
      </c>
      <c r="H647" s="238">
        <v>0</v>
      </c>
      <c r="J647" s="228">
        <v>0</v>
      </c>
      <c r="L647">
        <v>551</v>
      </c>
      <c r="M647">
        <v>57.47</v>
      </c>
    </row>
    <row r="648" spans="1:13">
      <c r="A648" s="216">
        <v>1715</v>
      </c>
      <c r="H648" s="238">
        <v>0</v>
      </c>
      <c r="J648" s="228">
        <v>0</v>
      </c>
      <c r="L648">
        <v>551</v>
      </c>
      <c r="M648">
        <v>57.41</v>
      </c>
    </row>
    <row r="649" spans="1:13">
      <c r="A649" s="216">
        <v>1722</v>
      </c>
      <c r="H649" s="238">
        <v>0</v>
      </c>
      <c r="J649" s="228">
        <v>0</v>
      </c>
      <c r="L649">
        <v>551</v>
      </c>
      <c r="M649">
        <v>57.34</v>
      </c>
    </row>
    <row r="650" spans="1:13">
      <c r="A650" s="216">
        <v>1726</v>
      </c>
      <c r="C650">
        <v>276</v>
      </c>
      <c r="D650">
        <v>5970</v>
      </c>
      <c r="E650">
        <v>1487</v>
      </c>
      <c r="F650">
        <v>7751</v>
      </c>
      <c r="G650">
        <v>0</v>
      </c>
      <c r="H650" s="238">
        <v>0</v>
      </c>
      <c r="J650" s="228">
        <v>0</v>
      </c>
      <c r="L650">
        <v>551</v>
      </c>
      <c r="M650">
        <v>57.27</v>
      </c>
    </row>
    <row r="651" spans="1:13">
      <c r="A651" s="216">
        <v>1727</v>
      </c>
      <c r="H651" s="238">
        <v>0</v>
      </c>
      <c r="J651" s="228">
        <v>0</v>
      </c>
      <c r="L651">
        <v>551</v>
      </c>
      <c r="M651">
        <v>57.21</v>
      </c>
    </row>
    <row r="652" spans="1:13">
      <c r="A652" s="216">
        <v>1729</v>
      </c>
      <c r="H652" s="238">
        <v>0</v>
      </c>
      <c r="J652" s="228">
        <v>0</v>
      </c>
      <c r="L652">
        <v>551</v>
      </c>
      <c r="M652">
        <v>57.14</v>
      </c>
    </row>
    <row r="653" spans="1:13">
      <c r="A653" s="216">
        <v>1731</v>
      </c>
      <c r="C653">
        <v>22</v>
      </c>
      <c r="D653">
        <v>642</v>
      </c>
      <c r="E653">
        <v>560</v>
      </c>
      <c r="F653">
        <v>1719</v>
      </c>
      <c r="G653">
        <v>0</v>
      </c>
      <c r="H653" s="238">
        <v>0</v>
      </c>
      <c r="J653" s="228">
        <v>0</v>
      </c>
      <c r="L653">
        <v>551</v>
      </c>
      <c r="M653">
        <v>57.08</v>
      </c>
    </row>
    <row r="654" spans="1:13">
      <c r="A654" s="216">
        <v>1732</v>
      </c>
      <c r="C654">
        <v>0</v>
      </c>
      <c r="H654" s="238">
        <v>0</v>
      </c>
      <c r="J654" s="228">
        <v>0</v>
      </c>
      <c r="L654">
        <v>551</v>
      </c>
      <c r="M654">
        <v>57.01</v>
      </c>
    </row>
    <row r="655" spans="1:13">
      <c r="A655" s="216">
        <v>1733</v>
      </c>
      <c r="C655">
        <v>87</v>
      </c>
      <c r="D655">
        <v>1054</v>
      </c>
      <c r="E655">
        <v>918</v>
      </c>
      <c r="F655">
        <v>1826</v>
      </c>
      <c r="G655">
        <v>0</v>
      </c>
      <c r="H655" s="238">
        <v>0</v>
      </c>
      <c r="J655" s="228">
        <v>0</v>
      </c>
      <c r="L655">
        <v>551</v>
      </c>
      <c r="M655">
        <v>56.95</v>
      </c>
    </row>
    <row r="656" spans="1:13">
      <c r="A656" s="216">
        <v>1734</v>
      </c>
      <c r="H656" s="238">
        <v>0</v>
      </c>
      <c r="J656" s="228">
        <v>0</v>
      </c>
      <c r="L656">
        <v>551</v>
      </c>
      <c r="M656">
        <v>56.88</v>
      </c>
    </row>
    <row r="657" spans="1:13">
      <c r="A657" s="216">
        <v>1737</v>
      </c>
      <c r="C657">
        <v>91</v>
      </c>
      <c r="D657">
        <v>1868</v>
      </c>
      <c r="E657">
        <v>2677</v>
      </c>
      <c r="F657">
        <v>5845</v>
      </c>
      <c r="G657">
        <v>0</v>
      </c>
      <c r="H657" s="238">
        <v>0</v>
      </c>
      <c r="J657" s="228">
        <v>0</v>
      </c>
      <c r="L657">
        <v>551</v>
      </c>
      <c r="M657">
        <v>56.81</v>
      </c>
    </row>
    <row r="658" spans="1:13">
      <c r="A658" s="216">
        <v>1783</v>
      </c>
      <c r="H658" s="238">
        <v>0</v>
      </c>
      <c r="J658" s="228">
        <v>0</v>
      </c>
      <c r="L658">
        <v>551</v>
      </c>
      <c r="M658">
        <v>56.75</v>
      </c>
    </row>
    <row r="659" spans="1:13">
      <c r="A659" s="216">
        <v>1786</v>
      </c>
      <c r="C659">
        <v>16</v>
      </c>
      <c r="D659">
        <v>500</v>
      </c>
      <c r="E659">
        <v>360</v>
      </c>
      <c r="F659">
        <v>941</v>
      </c>
      <c r="G659">
        <v>0</v>
      </c>
      <c r="H659" s="238">
        <v>0</v>
      </c>
      <c r="J659" s="228">
        <v>0</v>
      </c>
      <c r="L659">
        <v>551</v>
      </c>
      <c r="M659">
        <v>56.68</v>
      </c>
    </row>
    <row r="660" spans="1:13">
      <c r="A660" s="216">
        <v>1802</v>
      </c>
      <c r="C660">
        <v>-403</v>
      </c>
      <c r="H660" s="238">
        <v>0</v>
      </c>
      <c r="J660" s="228">
        <v>0</v>
      </c>
      <c r="L660">
        <v>551</v>
      </c>
      <c r="M660">
        <v>56.62</v>
      </c>
    </row>
    <row r="661" spans="1:13">
      <c r="A661" s="216">
        <v>1805</v>
      </c>
      <c r="C661">
        <v>-24</v>
      </c>
      <c r="H661" s="238">
        <v>0</v>
      </c>
      <c r="J661" s="228">
        <v>0</v>
      </c>
      <c r="L661">
        <v>551</v>
      </c>
      <c r="M661">
        <v>56.55</v>
      </c>
    </row>
    <row r="662" spans="1:13">
      <c r="A662" s="216">
        <v>1809</v>
      </c>
      <c r="C662">
        <v>6</v>
      </c>
      <c r="D662">
        <v>2852</v>
      </c>
      <c r="E662">
        <v>1746</v>
      </c>
      <c r="F662">
        <v>4533</v>
      </c>
      <c r="G662">
        <v>462</v>
      </c>
      <c r="H662" s="238">
        <v>0</v>
      </c>
      <c r="J662" s="228">
        <v>0</v>
      </c>
      <c r="L662">
        <v>551</v>
      </c>
      <c r="M662">
        <v>56.48</v>
      </c>
    </row>
    <row r="663" spans="1:13">
      <c r="A663" s="216">
        <v>1902</v>
      </c>
      <c r="H663" s="238">
        <v>0</v>
      </c>
      <c r="J663" s="228">
        <v>0</v>
      </c>
      <c r="L663">
        <v>551</v>
      </c>
      <c r="M663">
        <v>56.42</v>
      </c>
    </row>
    <row r="664" spans="1:13">
      <c r="A664" s="216">
        <v>1903</v>
      </c>
      <c r="H664" s="238">
        <v>0</v>
      </c>
      <c r="J664" s="228">
        <v>0</v>
      </c>
      <c r="L664">
        <v>551</v>
      </c>
      <c r="M664">
        <v>56.35</v>
      </c>
    </row>
    <row r="665" spans="1:13">
      <c r="A665" s="216">
        <v>1904</v>
      </c>
      <c r="H665" s="238">
        <v>0</v>
      </c>
      <c r="J665" s="228">
        <v>0</v>
      </c>
      <c r="L665">
        <v>551</v>
      </c>
      <c r="M665">
        <v>56.29</v>
      </c>
    </row>
    <row r="666" spans="1:13">
      <c r="A666" s="216">
        <v>1905</v>
      </c>
      <c r="H666" s="238">
        <v>0</v>
      </c>
      <c r="J666" s="228">
        <v>0</v>
      </c>
      <c r="L666">
        <v>551</v>
      </c>
      <c r="M666">
        <v>56.22</v>
      </c>
    </row>
    <row r="667" spans="1:13">
      <c r="A667" s="216">
        <v>1907</v>
      </c>
      <c r="H667" s="238">
        <v>0</v>
      </c>
      <c r="J667" s="228">
        <v>0</v>
      </c>
      <c r="L667">
        <v>551</v>
      </c>
      <c r="M667">
        <v>56.16</v>
      </c>
    </row>
    <row r="668" spans="1:13">
      <c r="A668" s="216">
        <v>1909</v>
      </c>
      <c r="H668" s="238">
        <v>0</v>
      </c>
      <c r="J668" s="228">
        <v>0</v>
      </c>
      <c r="L668">
        <v>551</v>
      </c>
      <c r="M668">
        <v>56.09</v>
      </c>
    </row>
    <row r="669" spans="1:13">
      <c r="A669" s="216">
        <v>2002</v>
      </c>
      <c r="C669">
        <v>1785</v>
      </c>
      <c r="D669">
        <v>0</v>
      </c>
      <c r="E669">
        <v>451880</v>
      </c>
      <c r="F669">
        <v>321673</v>
      </c>
      <c r="G669">
        <v>110473</v>
      </c>
      <c r="H669" s="238">
        <v>0</v>
      </c>
      <c r="J669" s="228">
        <v>0</v>
      </c>
      <c r="L669">
        <v>551</v>
      </c>
      <c r="M669">
        <v>56.02</v>
      </c>
    </row>
    <row r="670" spans="1:13">
      <c r="A670" s="216">
        <v>2007</v>
      </c>
      <c r="C670">
        <v>-36</v>
      </c>
      <c r="H670" s="238">
        <v>0</v>
      </c>
      <c r="J670" s="228">
        <v>0</v>
      </c>
      <c r="L670">
        <v>551</v>
      </c>
      <c r="M670">
        <v>55.96</v>
      </c>
    </row>
    <row r="671" spans="1:13">
      <c r="A671" s="216">
        <v>2008</v>
      </c>
      <c r="H671" s="238">
        <v>0</v>
      </c>
      <c r="J671" s="228">
        <v>0</v>
      </c>
      <c r="L671">
        <v>551</v>
      </c>
      <c r="M671">
        <v>55.89</v>
      </c>
    </row>
    <row r="672" spans="1:13">
      <c r="A672" s="216">
        <v>2009</v>
      </c>
      <c r="C672">
        <v>-105</v>
      </c>
      <c r="H672" s="238">
        <v>0</v>
      </c>
      <c r="J672" s="228">
        <v>0</v>
      </c>
      <c r="L672">
        <v>551</v>
      </c>
      <c r="M672">
        <v>55.83</v>
      </c>
    </row>
    <row r="673" spans="1:13">
      <c r="A673" s="216">
        <v>2014</v>
      </c>
      <c r="C673">
        <v>-1</v>
      </c>
      <c r="H673" s="238">
        <v>0</v>
      </c>
      <c r="J673" s="228">
        <v>0</v>
      </c>
      <c r="L673">
        <v>551</v>
      </c>
      <c r="M673">
        <v>55.76</v>
      </c>
    </row>
    <row r="674" spans="1:13">
      <c r="A674" s="216">
        <v>2017</v>
      </c>
      <c r="H674" s="238">
        <v>0</v>
      </c>
      <c r="J674" s="228">
        <v>0</v>
      </c>
      <c r="L674">
        <v>551</v>
      </c>
      <c r="M674">
        <v>55.69</v>
      </c>
    </row>
    <row r="675" spans="1:13">
      <c r="A675" s="216">
        <v>2020</v>
      </c>
      <c r="H675" s="238">
        <v>0</v>
      </c>
      <c r="J675" s="228">
        <v>0</v>
      </c>
      <c r="L675">
        <v>551</v>
      </c>
      <c r="M675">
        <v>55.63</v>
      </c>
    </row>
    <row r="676" spans="1:13">
      <c r="A676" s="216">
        <v>2022</v>
      </c>
      <c r="C676">
        <v>-82</v>
      </c>
      <c r="H676" s="238">
        <v>0</v>
      </c>
      <c r="J676" s="228">
        <v>0</v>
      </c>
      <c r="L676">
        <v>551</v>
      </c>
      <c r="M676">
        <v>55.56</v>
      </c>
    </row>
    <row r="677" spans="1:13">
      <c r="A677" s="216">
        <v>2025</v>
      </c>
      <c r="C677">
        <v>-70</v>
      </c>
      <c r="H677" s="238">
        <v>0</v>
      </c>
      <c r="J677" s="228">
        <v>0</v>
      </c>
      <c r="L677">
        <v>551</v>
      </c>
      <c r="M677">
        <v>55.5</v>
      </c>
    </row>
    <row r="678" spans="1:13">
      <c r="A678" s="216">
        <v>2027</v>
      </c>
      <c r="H678" s="238">
        <v>0</v>
      </c>
      <c r="J678" s="228">
        <v>0</v>
      </c>
      <c r="L678">
        <v>551</v>
      </c>
      <c r="M678">
        <v>55.43</v>
      </c>
    </row>
    <row r="679" spans="1:13">
      <c r="A679" s="216">
        <v>2028</v>
      </c>
      <c r="H679" s="238">
        <v>0</v>
      </c>
      <c r="J679" s="228">
        <v>0</v>
      </c>
      <c r="L679">
        <v>551</v>
      </c>
      <c r="M679">
        <v>55.37</v>
      </c>
    </row>
    <row r="680" spans="1:13">
      <c r="A680" s="216">
        <v>2029</v>
      </c>
      <c r="H680" s="238">
        <v>0</v>
      </c>
      <c r="J680" s="228">
        <v>0</v>
      </c>
      <c r="L680">
        <v>551</v>
      </c>
      <c r="M680">
        <v>55.3</v>
      </c>
    </row>
    <row r="681" spans="1:13">
      <c r="A681" s="216">
        <v>2030</v>
      </c>
      <c r="C681">
        <v>-38</v>
      </c>
      <c r="H681" s="238">
        <v>0</v>
      </c>
      <c r="J681" s="228">
        <v>0</v>
      </c>
      <c r="L681">
        <v>551</v>
      </c>
      <c r="M681">
        <v>55.23</v>
      </c>
    </row>
    <row r="682" spans="1:13">
      <c r="A682" s="216">
        <v>2031</v>
      </c>
      <c r="C682">
        <v>-92</v>
      </c>
      <c r="H682" s="238">
        <v>0</v>
      </c>
      <c r="J682" s="228">
        <v>0</v>
      </c>
      <c r="L682">
        <v>551</v>
      </c>
      <c r="M682">
        <v>55.17</v>
      </c>
    </row>
    <row r="683" spans="1:13">
      <c r="A683" s="216">
        <v>2032</v>
      </c>
      <c r="C683">
        <v>-11</v>
      </c>
      <c r="H683" s="238">
        <v>0</v>
      </c>
      <c r="J683" s="228">
        <v>0</v>
      </c>
      <c r="L683">
        <v>551</v>
      </c>
      <c r="M683">
        <v>55.1</v>
      </c>
    </row>
    <row r="684" spans="1:13">
      <c r="A684" s="216">
        <v>2033</v>
      </c>
      <c r="H684" s="238">
        <v>0</v>
      </c>
      <c r="J684" s="228">
        <v>0</v>
      </c>
      <c r="L684">
        <v>551</v>
      </c>
      <c r="M684">
        <v>55.04</v>
      </c>
    </row>
    <row r="685" spans="1:13">
      <c r="A685" s="216">
        <v>2038</v>
      </c>
      <c r="H685" s="238">
        <v>0</v>
      </c>
      <c r="J685" s="228">
        <v>0</v>
      </c>
      <c r="L685">
        <v>551</v>
      </c>
      <c r="M685">
        <v>54.97</v>
      </c>
    </row>
    <row r="686" spans="1:13">
      <c r="A686" s="216">
        <v>2059</v>
      </c>
      <c r="C686">
        <v>529</v>
      </c>
      <c r="D686">
        <v>6246</v>
      </c>
      <c r="E686">
        <v>1430</v>
      </c>
      <c r="F686">
        <v>7611</v>
      </c>
      <c r="G686">
        <v>0</v>
      </c>
      <c r="H686" s="238">
        <v>0</v>
      </c>
      <c r="J686" s="228">
        <v>0</v>
      </c>
      <c r="L686">
        <v>551</v>
      </c>
      <c r="M686">
        <v>54.9</v>
      </c>
    </row>
    <row r="687" spans="1:13">
      <c r="A687" s="216">
        <v>2107</v>
      </c>
      <c r="H687" s="238">
        <v>0</v>
      </c>
      <c r="J687" s="228">
        <v>0</v>
      </c>
      <c r="L687">
        <v>551</v>
      </c>
      <c r="M687">
        <v>54.84</v>
      </c>
    </row>
    <row r="688" spans="1:13">
      <c r="A688" s="216">
        <v>2114</v>
      </c>
      <c r="C688">
        <v>114</v>
      </c>
      <c r="D688">
        <v>957</v>
      </c>
      <c r="E688">
        <v>1024</v>
      </c>
      <c r="F688">
        <v>2124</v>
      </c>
      <c r="G688">
        <v>0</v>
      </c>
      <c r="H688" s="238">
        <v>0</v>
      </c>
      <c r="J688" s="228">
        <v>0</v>
      </c>
      <c r="L688">
        <v>551</v>
      </c>
      <c r="M688">
        <v>54.77</v>
      </c>
    </row>
    <row r="689" spans="1:13">
      <c r="A689" s="216">
        <v>2206</v>
      </c>
      <c r="C689">
        <v>71</v>
      </c>
      <c r="D689">
        <v>3342</v>
      </c>
      <c r="E689">
        <v>11388</v>
      </c>
      <c r="F689">
        <v>19472</v>
      </c>
      <c r="G689">
        <v>15426</v>
      </c>
      <c r="H689" s="238">
        <v>0</v>
      </c>
      <c r="J689" s="228">
        <v>0</v>
      </c>
      <c r="L689">
        <v>551</v>
      </c>
      <c r="M689">
        <v>54.71</v>
      </c>
    </row>
    <row r="690" spans="1:13">
      <c r="A690" s="216">
        <v>2208</v>
      </c>
      <c r="C690">
        <v>60</v>
      </c>
      <c r="D690">
        <v>3421</v>
      </c>
      <c r="E690">
        <v>10934</v>
      </c>
      <c r="F690">
        <v>13663</v>
      </c>
      <c r="G690">
        <v>79</v>
      </c>
      <c r="H690" s="238">
        <v>0</v>
      </c>
      <c r="J690" s="228">
        <v>0</v>
      </c>
      <c r="L690">
        <v>551</v>
      </c>
      <c r="M690">
        <v>54.64</v>
      </c>
    </row>
    <row r="691" spans="1:13">
      <c r="A691" s="216">
        <v>2228</v>
      </c>
      <c r="C691">
        <v>212</v>
      </c>
      <c r="D691">
        <v>1853</v>
      </c>
      <c r="E691">
        <v>1257</v>
      </c>
      <c r="F691">
        <v>3037</v>
      </c>
      <c r="G691">
        <v>0</v>
      </c>
      <c r="H691" s="238">
        <v>0</v>
      </c>
      <c r="J691" s="228">
        <v>0</v>
      </c>
      <c r="L691">
        <v>551</v>
      </c>
      <c r="M691">
        <v>54.58</v>
      </c>
    </row>
    <row r="692" spans="1:13">
      <c r="A692" s="216">
        <v>2303</v>
      </c>
      <c r="C692">
        <v>1117</v>
      </c>
      <c r="D692">
        <v>48373</v>
      </c>
      <c r="E692">
        <v>183891</v>
      </c>
      <c r="F692">
        <v>223998</v>
      </c>
      <c r="G692">
        <v>8836</v>
      </c>
      <c r="H692" s="238">
        <v>0</v>
      </c>
      <c r="J692" s="228">
        <v>0</v>
      </c>
      <c r="L692">
        <v>551</v>
      </c>
      <c r="M692">
        <v>54.51</v>
      </c>
    </row>
    <row r="693" spans="1:13">
      <c r="A693" s="216">
        <v>2305</v>
      </c>
      <c r="C693">
        <v>-25</v>
      </c>
      <c r="H693" s="238">
        <v>0</v>
      </c>
      <c r="J693" s="228">
        <v>0</v>
      </c>
      <c r="L693">
        <v>551</v>
      </c>
      <c r="M693">
        <v>54.44</v>
      </c>
    </row>
    <row r="694" spans="1:13">
      <c r="A694" s="216">
        <v>2312</v>
      </c>
      <c r="H694" s="238">
        <v>0</v>
      </c>
      <c r="J694" s="228">
        <v>0</v>
      </c>
      <c r="L694">
        <v>551</v>
      </c>
      <c r="M694">
        <v>54.38</v>
      </c>
    </row>
    <row r="695" spans="1:13">
      <c r="A695" s="216">
        <v>2314</v>
      </c>
      <c r="C695">
        <v>-18</v>
      </c>
      <c r="H695" s="238">
        <v>0</v>
      </c>
      <c r="J695" s="228">
        <v>0</v>
      </c>
      <c r="L695">
        <v>551</v>
      </c>
      <c r="M695">
        <v>54.31</v>
      </c>
    </row>
    <row r="696" spans="1:13">
      <c r="A696" s="216">
        <v>2316</v>
      </c>
      <c r="C696">
        <v>44</v>
      </c>
      <c r="D696">
        <v>8617</v>
      </c>
      <c r="E696">
        <v>1873</v>
      </c>
      <c r="F696">
        <v>10833</v>
      </c>
      <c r="G696">
        <v>1134</v>
      </c>
      <c r="H696" s="238">
        <v>0</v>
      </c>
      <c r="J696" s="228">
        <v>0</v>
      </c>
      <c r="L696">
        <v>551</v>
      </c>
      <c r="M696">
        <v>54.25</v>
      </c>
    </row>
    <row r="697" spans="1:13">
      <c r="A697" s="216">
        <v>2317</v>
      </c>
      <c r="H697" s="238">
        <v>0</v>
      </c>
      <c r="J697" s="228">
        <v>0</v>
      </c>
      <c r="L697">
        <v>551</v>
      </c>
      <c r="M697">
        <v>54.18</v>
      </c>
    </row>
    <row r="698" spans="1:13">
      <c r="A698" s="216">
        <v>2321</v>
      </c>
      <c r="H698" s="238">
        <v>0</v>
      </c>
      <c r="J698" s="228">
        <v>0</v>
      </c>
      <c r="L698">
        <v>551</v>
      </c>
      <c r="M698">
        <v>54.11</v>
      </c>
    </row>
    <row r="699" spans="1:13">
      <c r="A699" s="216">
        <v>2323</v>
      </c>
      <c r="H699" s="238">
        <v>0</v>
      </c>
      <c r="J699" s="228">
        <v>0</v>
      </c>
      <c r="L699">
        <v>551</v>
      </c>
      <c r="M699">
        <v>54.05</v>
      </c>
    </row>
    <row r="700" spans="1:13">
      <c r="A700" s="216">
        <v>2332</v>
      </c>
      <c r="C700">
        <v>-250</v>
      </c>
      <c r="H700" s="238">
        <v>0</v>
      </c>
      <c r="J700" s="228">
        <v>0</v>
      </c>
      <c r="L700">
        <v>551</v>
      </c>
      <c r="M700">
        <v>53.98</v>
      </c>
    </row>
    <row r="701" spans="1:13">
      <c r="A701" s="216">
        <v>2337</v>
      </c>
      <c r="C701">
        <v>-970</v>
      </c>
      <c r="H701" s="238">
        <v>0</v>
      </c>
      <c r="J701" s="228">
        <v>0</v>
      </c>
      <c r="L701">
        <v>551</v>
      </c>
      <c r="M701">
        <v>53.92</v>
      </c>
    </row>
    <row r="702" spans="1:13">
      <c r="A702" s="216">
        <v>2338</v>
      </c>
      <c r="H702" s="238">
        <v>0</v>
      </c>
      <c r="J702" s="228">
        <v>0</v>
      </c>
      <c r="L702">
        <v>551</v>
      </c>
      <c r="M702">
        <v>53.85</v>
      </c>
    </row>
    <row r="703" spans="1:13">
      <c r="A703" s="216">
        <v>2342</v>
      </c>
      <c r="H703" s="238">
        <v>0</v>
      </c>
      <c r="J703" s="228">
        <v>0</v>
      </c>
      <c r="L703">
        <v>551</v>
      </c>
      <c r="M703">
        <v>53.79</v>
      </c>
    </row>
    <row r="704" spans="1:13">
      <c r="A704" s="216">
        <v>2345</v>
      </c>
      <c r="C704">
        <v>452</v>
      </c>
      <c r="D704">
        <v>5931</v>
      </c>
      <c r="E704">
        <v>1111</v>
      </c>
      <c r="F704">
        <v>7802</v>
      </c>
      <c r="G704">
        <v>0</v>
      </c>
      <c r="H704" s="238">
        <v>0</v>
      </c>
      <c r="J704" s="228">
        <v>0</v>
      </c>
      <c r="L704">
        <v>551</v>
      </c>
      <c r="M704">
        <v>53.72</v>
      </c>
    </row>
    <row r="705" spans="1:13">
      <c r="A705" s="216">
        <v>2348</v>
      </c>
      <c r="H705" s="238">
        <v>0</v>
      </c>
      <c r="J705" s="228">
        <v>0</v>
      </c>
      <c r="L705">
        <v>551</v>
      </c>
      <c r="M705">
        <v>53.65</v>
      </c>
    </row>
    <row r="706" spans="1:13">
      <c r="A706" s="216">
        <v>2349</v>
      </c>
      <c r="H706" s="238">
        <v>0</v>
      </c>
      <c r="J706" s="228">
        <v>0</v>
      </c>
      <c r="L706">
        <v>551</v>
      </c>
      <c r="M706">
        <v>53.59</v>
      </c>
    </row>
    <row r="707" spans="1:13">
      <c r="A707" s="216">
        <v>2352</v>
      </c>
      <c r="H707" s="238">
        <v>0</v>
      </c>
      <c r="J707" s="228">
        <v>0</v>
      </c>
      <c r="L707">
        <v>551</v>
      </c>
      <c r="M707">
        <v>53.52</v>
      </c>
    </row>
    <row r="708" spans="1:13">
      <c r="A708" s="216">
        <v>2353</v>
      </c>
      <c r="C708">
        <v>-641</v>
      </c>
      <c r="H708" s="238">
        <v>0</v>
      </c>
      <c r="J708" s="228">
        <v>0</v>
      </c>
      <c r="L708">
        <v>551</v>
      </c>
      <c r="M708">
        <v>53.46</v>
      </c>
    </row>
    <row r="709" spans="1:13">
      <c r="A709" s="216">
        <v>2358</v>
      </c>
      <c r="H709" s="238">
        <v>0</v>
      </c>
      <c r="J709" s="228">
        <v>0</v>
      </c>
      <c r="L709">
        <v>551</v>
      </c>
      <c r="M709">
        <v>53.39</v>
      </c>
    </row>
    <row r="710" spans="1:13">
      <c r="A710" s="216">
        <v>2360</v>
      </c>
      <c r="H710" s="238">
        <v>0</v>
      </c>
      <c r="J710" s="228">
        <v>0</v>
      </c>
      <c r="L710">
        <v>551</v>
      </c>
      <c r="M710">
        <v>53.32</v>
      </c>
    </row>
    <row r="711" spans="1:13">
      <c r="A711" s="216">
        <v>2361</v>
      </c>
      <c r="H711" s="238">
        <v>0</v>
      </c>
      <c r="J711" s="228">
        <v>0</v>
      </c>
      <c r="L711">
        <v>551</v>
      </c>
      <c r="M711">
        <v>53.26</v>
      </c>
    </row>
    <row r="712" spans="1:13">
      <c r="A712" s="216">
        <v>2363</v>
      </c>
      <c r="C712">
        <v>-86</v>
      </c>
      <c r="H712" s="238">
        <v>0</v>
      </c>
      <c r="J712" s="228">
        <v>0</v>
      </c>
      <c r="L712">
        <v>551</v>
      </c>
      <c r="M712">
        <v>53.19</v>
      </c>
    </row>
    <row r="713" spans="1:13">
      <c r="A713" s="216">
        <v>2364</v>
      </c>
      <c r="C713">
        <v>-58</v>
      </c>
      <c r="H713" s="238">
        <v>0</v>
      </c>
      <c r="J713" s="228">
        <v>0</v>
      </c>
      <c r="L713">
        <v>551</v>
      </c>
      <c r="M713">
        <v>53.13</v>
      </c>
    </row>
    <row r="714" spans="1:13">
      <c r="A714" s="216">
        <v>2365</v>
      </c>
      <c r="C714">
        <v>-6</v>
      </c>
      <c r="H714" s="238">
        <v>0</v>
      </c>
      <c r="J714" s="228">
        <v>0</v>
      </c>
      <c r="L714">
        <v>551</v>
      </c>
      <c r="M714">
        <v>53.06</v>
      </c>
    </row>
    <row r="715" spans="1:13">
      <c r="A715" s="216">
        <v>2369</v>
      </c>
      <c r="C715">
        <v>-23</v>
      </c>
      <c r="H715" s="238">
        <v>0</v>
      </c>
      <c r="J715" s="228">
        <v>0</v>
      </c>
      <c r="L715">
        <v>551</v>
      </c>
      <c r="M715">
        <v>53</v>
      </c>
    </row>
    <row r="716" spans="1:13">
      <c r="A716" s="216">
        <v>2371</v>
      </c>
      <c r="H716" s="238">
        <v>0</v>
      </c>
      <c r="J716" s="228">
        <v>0</v>
      </c>
      <c r="L716">
        <v>551</v>
      </c>
      <c r="M716">
        <v>52.93</v>
      </c>
    </row>
    <row r="717" spans="1:13">
      <c r="A717" s="216">
        <v>2380</v>
      </c>
      <c r="H717" s="238">
        <v>0</v>
      </c>
      <c r="J717" s="228">
        <v>0</v>
      </c>
      <c r="L717">
        <v>551</v>
      </c>
      <c r="M717">
        <v>52.86</v>
      </c>
    </row>
    <row r="718" spans="1:13">
      <c r="A718" s="216">
        <v>2388</v>
      </c>
      <c r="C718">
        <v>-419</v>
      </c>
      <c r="H718" s="238">
        <v>0</v>
      </c>
      <c r="J718" s="228">
        <v>0</v>
      </c>
      <c r="L718">
        <v>551</v>
      </c>
      <c r="M718">
        <v>52.8</v>
      </c>
    </row>
    <row r="719" spans="1:13">
      <c r="A719" s="216">
        <v>2390</v>
      </c>
      <c r="C719">
        <v>-59</v>
      </c>
      <c r="H719" s="238">
        <v>0</v>
      </c>
      <c r="J719" s="228">
        <v>0</v>
      </c>
      <c r="L719">
        <v>551</v>
      </c>
      <c r="M719">
        <v>52.73</v>
      </c>
    </row>
    <row r="720" spans="1:13">
      <c r="A720" s="216">
        <v>2392</v>
      </c>
      <c r="H720" s="238">
        <v>0</v>
      </c>
      <c r="J720" s="228">
        <v>0</v>
      </c>
      <c r="L720">
        <v>551</v>
      </c>
      <c r="M720">
        <v>52.67</v>
      </c>
    </row>
    <row r="721" spans="1:13">
      <c r="A721" s="216">
        <v>2397</v>
      </c>
      <c r="C721">
        <v>103</v>
      </c>
      <c r="D721">
        <v>2227</v>
      </c>
      <c r="E721">
        <v>564</v>
      </c>
      <c r="F721">
        <v>2965</v>
      </c>
      <c r="G721">
        <v>0</v>
      </c>
      <c r="H721" s="238">
        <v>0</v>
      </c>
      <c r="J721" s="228">
        <v>0</v>
      </c>
      <c r="L721">
        <v>551</v>
      </c>
      <c r="M721">
        <v>52.6</v>
      </c>
    </row>
    <row r="722" spans="1:13">
      <c r="A722" s="216">
        <v>2399</v>
      </c>
      <c r="C722">
        <v>-48</v>
      </c>
      <c r="H722" s="238">
        <v>0</v>
      </c>
      <c r="J722" s="228">
        <v>0</v>
      </c>
      <c r="L722">
        <v>551</v>
      </c>
      <c r="M722">
        <v>52.53</v>
      </c>
    </row>
    <row r="723" spans="1:13">
      <c r="A723" s="216">
        <v>2402</v>
      </c>
      <c r="C723">
        <v>-37</v>
      </c>
      <c r="H723" s="238">
        <v>0</v>
      </c>
      <c r="J723" s="228">
        <v>0</v>
      </c>
      <c r="L723">
        <v>551</v>
      </c>
      <c r="M723">
        <v>52.47</v>
      </c>
    </row>
    <row r="724" spans="1:13">
      <c r="A724" s="216">
        <v>2404</v>
      </c>
      <c r="H724" s="238">
        <v>0</v>
      </c>
      <c r="J724" s="228">
        <v>0</v>
      </c>
      <c r="L724">
        <v>551</v>
      </c>
      <c r="M724">
        <v>52.4</v>
      </c>
    </row>
    <row r="725" spans="1:13">
      <c r="A725" s="216">
        <v>2405</v>
      </c>
      <c r="C725">
        <v>-42</v>
      </c>
      <c r="H725" s="238">
        <v>0</v>
      </c>
      <c r="J725" s="228">
        <v>0</v>
      </c>
      <c r="L725">
        <v>551</v>
      </c>
      <c r="M725">
        <v>52.34</v>
      </c>
    </row>
    <row r="726" spans="1:13">
      <c r="A726" s="216">
        <v>2406</v>
      </c>
      <c r="H726" s="238">
        <v>0</v>
      </c>
      <c r="J726" s="228">
        <v>0</v>
      </c>
      <c r="L726">
        <v>551</v>
      </c>
      <c r="M726">
        <v>52.27</v>
      </c>
    </row>
    <row r="727" spans="1:13">
      <c r="A727" s="216">
        <v>2417</v>
      </c>
      <c r="C727">
        <v>-67</v>
      </c>
      <c r="H727" s="238">
        <v>0</v>
      </c>
      <c r="J727" s="228">
        <v>0</v>
      </c>
      <c r="L727">
        <v>551</v>
      </c>
      <c r="M727">
        <v>52.21</v>
      </c>
    </row>
    <row r="728" spans="1:13">
      <c r="A728" s="216">
        <v>2423</v>
      </c>
      <c r="H728" s="238">
        <v>0</v>
      </c>
      <c r="J728" s="228">
        <v>0</v>
      </c>
      <c r="L728">
        <v>551</v>
      </c>
      <c r="M728">
        <v>52.14</v>
      </c>
    </row>
    <row r="729" spans="1:13">
      <c r="A729" s="216">
        <v>2424</v>
      </c>
      <c r="C729">
        <v>-6</v>
      </c>
      <c r="H729" s="238">
        <v>0</v>
      </c>
      <c r="J729" s="228">
        <v>0</v>
      </c>
      <c r="L729">
        <v>551</v>
      </c>
      <c r="M729">
        <v>52.07</v>
      </c>
    </row>
    <row r="730" spans="1:13">
      <c r="A730" s="216">
        <v>2427</v>
      </c>
      <c r="H730" s="238">
        <v>0</v>
      </c>
      <c r="J730" s="228">
        <v>0</v>
      </c>
      <c r="L730">
        <v>551</v>
      </c>
      <c r="M730">
        <v>52.01</v>
      </c>
    </row>
    <row r="731" spans="1:13">
      <c r="A731" s="216">
        <v>2429</v>
      </c>
      <c r="C731">
        <v>-16</v>
      </c>
      <c r="H731" s="238">
        <v>0</v>
      </c>
      <c r="J731" s="228">
        <v>0</v>
      </c>
      <c r="L731">
        <v>551</v>
      </c>
      <c r="M731">
        <v>51.94</v>
      </c>
    </row>
    <row r="732" spans="1:13">
      <c r="A732" s="216">
        <v>2430</v>
      </c>
      <c r="H732" s="238">
        <v>0</v>
      </c>
      <c r="J732" s="228">
        <v>0</v>
      </c>
      <c r="L732">
        <v>551</v>
      </c>
      <c r="M732">
        <v>51.88</v>
      </c>
    </row>
    <row r="733" spans="1:13">
      <c r="A733" s="216">
        <v>2431</v>
      </c>
      <c r="H733" s="238">
        <v>0</v>
      </c>
      <c r="J733" s="228">
        <v>0</v>
      </c>
      <c r="L733">
        <v>551</v>
      </c>
      <c r="M733">
        <v>51.81</v>
      </c>
    </row>
    <row r="734" spans="1:13">
      <c r="A734" s="216">
        <v>2434</v>
      </c>
      <c r="H734" s="238">
        <v>0</v>
      </c>
      <c r="J734" s="228">
        <v>0</v>
      </c>
      <c r="L734">
        <v>551</v>
      </c>
      <c r="M734">
        <v>51.74</v>
      </c>
    </row>
    <row r="735" spans="1:13">
      <c r="A735" s="216">
        <v>2436</v>
      </c>
      <c r="C735">
        <v>1</v>
      </c>
      <c r="D735">
        <v>2336</v>
      </c>
      <c r="E735">
        <v>228</v>
      </c>
      <c r="F735">
        <v>2587</v>
      </c>
      <c r="G735">
        <v>190</v>
      </c>
      <c r="H735" s="238">
        <v>0</v>
      </c>
      <c r="J735" s="228">
        <v>0</v>
      </c>
      <c r="L735">
        <v>551</v>
      </c>
      <c r="M735">
        <v>51.68</v>
      </c>
    </row>
    <row r="736" spans="1:13">
      <c r="A736" s="216">
        <v>2438</v>
      </c>
      <c r="H736" s="238">
        <v>0</v>
      </c>
      <c r="J736" s="228">
        <v>0</v>
      </c>
      <c r="L736">
        <v>551</v>
      </c>
      <c r="M736">
        <v>51.61</v>
      </c>
    </row>
    <row r="737" spans="1:13">
      <c r="A737" s="216">
        <v>2440</v>
      </c>
      <c r="H737" s="238">
        <v>0</v>
      </c>
      <c r="J737" s="228">
        <v>0</v>
      </c>
      <c r="L737">
        <v>551</v>
      </c>
      <c r="M737">
        <v>51.55</v>
      </c>
    </row>
    <row r="738" spans="1:13">
      <c r="A738" s="216">
        <v>2441</v>
      </c>
      <c r="C738">
        <v>517</v>
      </c>
      <c r="D738">
        <v>5688</v>
      </c>
      <c r="E738">
        <v>7236</v>
      </c>
      <c r="F738">
        <v>13298</v>
      </c>
      <c r="G738">
        <v>0</v>
      </c>
      <c r="H738" s="238">
        <v>0</v>
      </c>
      <c r="J738" s="228">
        <v>0</v>
      </c>
      <c r="L738">
        <v>551</v>
      </c>
      <c r="M738">
        <v>51.48</v>
      </c>
    </row>
    <row r="739" spans="1:13">
      <c r="A739" s="216">
        <v>2443</v>
      </c>
      <c r="C739">
        <v>-69</v>
      </c>
      <c r="H739" s="238">
        <v>0</v>
      </c>
      <c r="J739" s="228">
        <v>0</v>
      </c>
      <c r="L739">
        <v>551</v>
      </c>
      <c r="M739">
        <v>51.42</v>
      </c>
    </row>
    <row r="740" spans="1:13">
      <c r="A740" s="216">
        <v>2448</v>
      </c>
      <c r="C740">
        <v>-351</v>
      </c>
      <c r="H740" s="238">
        <v>0</v>
      </c>
      <c r="J740" s="228">
        <v>0</v>
      </c>
      <c r="L740">
        <v>551</v>
      </c>
      <c r="M740">
        <v>51.35</v>
      </c>
    </row>
    <row r="741" spans="1:13">
      <c r="A741" s="216">
        <v>2450</v>
      </c>
      <c r="C741">
        <v>8</v>
      </c>
      <c r="D741">
        <v>2667</v>
      </c>
      <c r="E741">
        <v>1093</v>
      </c>
      <c r="F741">
        <v>5419</v>
      </c>
      <c r="G741">
        <v>108</v>
      </c>
      <c r="H741" s="238">
        <v>0</v>
      </c>
      <c r="J741" s="228">
        <v>0</v>
      </c>
      <c r="L741">
        <v>551</v>
      </c>
      <c r="M741">
        <v>51.28</v>
      </c>
    </row>
    <row r="742" spans="1:13">
      <c r="A742" s="216">
        <v>2455</v>
      </c>
      <c r="C742">
        <v>155</v>
      </c>
      <c r="D742">
        <v>1705</v>
      </c>
      <c r="E742">
        <v>1656</v>
      </c>
      <c r="F742">
        <v>3459</v>
      </c>
      <c r="G742">
        <v>0</v>
      </c>
      <c r="H742" s="238">
        <v>0</v>
      </c>
      <c r="J742" s="228">
        <v>0</v>
      </c>
      <c r="L742">
        <v>551</v>
      </c>
      <c r="M742">
        <v>51.22</v>
      </c>
    </row>
    <row r="743" spans="1:13">
      <c r="A743" s="216">
        <v>2457</v>
      </c>
      <c r="C743">
        <v>-141</v>
      </c>
      <c r="H743" s="238">
        <v>0</v>
      </c>
      <c r="J743" s="228">
        <v>0</v>
      </c>
      <c r="L743">
        <v>551</v>
      </c>
      <c r="M743">
        <v>51.15</v>
      </c>
    </row>
    <row r="744" spans="1:13">
      <c r="A744" s="216">
        <v>2460</v>
      </c>
      <c r="H744" s="238">
        <v>0</v>
      </c>
      <c r="J744" s="228">
        <v>0</v>
      </c>
      <c r="L744">
        <v>551</v>
      </c>
      <c r="M744">
        <v>51.09</v>
      </c>
    </row>
    <row r="745" spans="1:13">
      <c r="A745" s="216">
        <v>2461</v>
      </c>
      <c r="H745" s="238">
        <v>0</v>
      </c>
      <c r="J745" s="228">
        <v>0</v>
      </c>
      <c r="L745">
        <v>551</v>
      </c>
      <c r="M745">
        <v>51.02</v>
      </c>
    </row>
    <row r="746" spans="1:13">
      <c r="A746" s="216">
        <v>2465</v>
      </c>
      <c r="C746">
        <v>-38</v>
      </c>
      <c r="H746" s="238">
        <v>0</v>
      </c>
      <c r="J746" s="228">
        <v>0</v>
      </c>
      <c r="L746">
        <v>551</v>
      </c>
      <c r="M746">
        <v>50.95</v>
      </c>
    </row>
    <row r="747" spans="1:13">
      <c r="A747" s="216">
        <v>2466</v>
      </c>
      <c r="H747" s="238">
        <v>0</v>
      </c>
      <c r="J747" s="228">
        <v>0</v>
      </c>
      <c r="L747">
        <v>551</v>
      </c>
      <c r="M747">
        <v>50.89</v>
      </c>
    </row>
    <row r="748" spans="1:13">
      <c r="A748" s="216">
        <v>2467</v>
      </c>
      <c r="H748" s="238">
        <v>0</v>
      </c>
      <c r="J748" s="228">
        <v>0</v>
      </c>
      <c r="L748">
        <v>551</v>
      </c>
      <c r="M748">
        <v>50.82</v>
      </c>
    </row>
    <row r="749" spans="1:13">
      <c r="A749" s="216">
        <v>2468</v>
      </c>
      <c r="C749">
        <v>7</v>
      </c>
      <c r="D749">
        <v>501</v>
      </c>
      <c r="E749">
        <v>268</v>
      </c>
      <c r="F749">
        <v>1092</v>
      </c>
      <c r="G749">
        <v>0</v>
      </c>
      <c r="H749" s="238">
        <v>0</v>
      </c>
      <c r="J749" s="228">
        <v>0</v>
      </c>
      <c r="L749">
        <v>551</v>
      </c>
      <c r="M749">
        <v>50.76</v>
      </c>
    </row>
    <row r="750" spans="1:13">
      <c r="A750" s="216">
        <v>2471</v>
      </c>
      <c r="C750">
        <v>-2</v>
      </c>
      <c r="H750" s="238">
        <v>0</v>
      </c>
      <c r="J750" s="228">
        <v>0</v>
      </c>
      <c r="L750">
        <v>551</v>
      </c>
      <c r="M750">
        <v>50.69</v>
      </c>
    </row>
    <row r="751" spans="1:13">
      <c r="A751" s="216">
        <v>2475</v>
      </c>
      <c r="H751" s="238">
        <v>0</v>
      </c>
      <c r="J751" s="228">
        <v>0</v>
      </c>
      <c r="L751">
        <v>551</v>
      </c>
      <c r="M751">
        <v>50.63</v>
      </c>
    </row>
    <row r="752" spans="1:13">
      <c r="A752" s="216">
        <v>2478</v>
      </c>
      <c r="C752">
        <v>66</v>
      </c>
      <c r="D752">
        <v>2856</v>
      </c>
      <c r="E752">
        <v>2975</v>
      </c>
      <c r="F752">
        <v>5309</v>
      </c>
      <c r="G752">
        <v>0</v>
      </c>
      <c r="H752" s="238">
        <v>0</v>
      </c>
      <c r="J752" s="228">
        <v>0</v>
      </c>
      <c r="L752">
        <v>551</v>
      </c>
      <c r="M752">
        <v>50.56</v>
      </c>
    </row>
    <row r="753" spans="1:13">
      <c r="A753" s="216">
        <v>2482</v>
      </c>
      <c r="H753" s="238">
        <v>0</v>
      </c>
      <c r="J753" s="228">
        <v>0</v>
      </c>
      <c r="L753">
        <v>551</v>
      </c>
      <c r="M753">
        <v>50.49</v>
      </c>
    </row>
    <row r="754" spans="1:13">
      <c r="A754" s="216">
        <v>2483</v>
      </c>
      <c r="C754">
        <v>28</v>
      </c>
      <c r="D754">
        <v>1324</v>
      </c>
      <c r="E754">
        <v>699</v>
      </c>
      <c r="F754">
        <v>2391</v>
      </c>
      <c r="G754">
        <v>0</v>
      </c>
      <c r="H754" s="238">
        <v>0</v>
      </c>
      <c r="J754" s="228">
        <v>0</v>
      </c>
      <c r="L754">
        <v>551</v>
      </c>
      <c r="M754">
        <v>50.43</v>
      </c>
    </row>
    <row r="755" spans="1:13">
      <c r="A755" s="216">
        <v>2484</v>
      </c>
      <c r="H755" s="238">
        <v>0</v>
      </c>
      <c r="J755" s="228">
        <v>0</v>
      </c>
      <c r="L755">
        <v>551</v>
      </c>
      <c r="M755">
        <v>50.36</v>
      </c>
    </row>
    <row r="756" spans="1:13">
      <c r="A756" s="216">
        <v>2486</v>
      </c>
      <c r="C756">
        <v>-58</v>
      </c>
      <c r="H756" s="238">
        <v>0</v>
      </c>
      <c r="J756" s="228">
        <v>0</v>
      </c>
      <c r="L756">
        <v>551</v>
      </c>
      <c r="M756">
        <v>50.3</v>
      </c>
    </row>
    <row r="757" spans="1:13">
      <c r="A757" s="216">
        <v>2489</v>
      </c>
      <c r="C757">
        <v>-98</v>
      </c>
      <c r="H757" s="238">
        <v>0</v>
      </c>
      <c r="J757" s="228">
        <v>0</v>
      </c>
      <c r="L757">
        <v>551</v>
      </c>
      <c r="M757">
        <v>50.23</v>
      </c>
    </row>
    <row r="758" spans="1:13">
      <c r="A758" s="216">
        <v>2491</v>
      </c>
      <c r="H758" s="238">
        <v>0</v>
      </c>
      <c r="J758" s="228">
        <v>0</v>
      </c>
      <c r="L758">
        <v>551</v>
      </c>
      <c r="M758">
        <v>50.16</v>
      </c>
    </row>
    <row r="759" spans="1:13">
      <c r="A759" s="216">
        <v>2495</v>
      </c>
      <c r="C759">
        <v>38</v>
      </c>
      <c r="D759">
        <v>2998</v>
      </c>
      <c r="E759">
        <v>690</v>
      </c>
      <c r="F759">
        <v>4127</v>
      </c>
      <c r="G759">
        <v>0</v>
      </c>
      <c r="H759" s="238">
        <v>0</v>
      </c>
      <c r="J759" s="228">
        <v>0</v>
      </c>
      <c r="L759">
        <v>551</v>
      </c>
      <c r="M759">
        <v>50.1</v>
      </c>
    </row>
    <row r="760" spans="1:13">
      <c r="A760" s="216">
        <v>2496</v>
      </c>
      <c r="C760">
        <v>-3</v>
      </c>
      <c r="H760" s="238">
        <v>0</v>
      </c>
      <c r="J760" s="228">
        <v>0</v>
      </c>
      <c r="L760">
        <v>551</v>
      </c>
      <c r="M760">
        <v>50.03</v>
      </c>
    </row>
    <row r="761" spans="1:13">
      <c r="A761" s="216">
        <v>2498</v>
      </c>
      <c r="C761">
        <v>-4943</v>
      </c>
      <c r="H761" s="238">
        <v>0</v>
      </c>
      <c r="J761" s="228">
        <v>0</v>
      </c>
      <c r="L761">
        <v>551</v>
      </c>
      <c r="M761">
        <v>49.97</v>
      </c>
    </row>
    <row r="762" spans="1:13">
      <c r="A762" s="216">
        <v>2499</v>
      </c>
      <c r="H762" s="238">
        <v>0</v>
      </c>
      <c r="J762" s="228">
        <v>0</v>
      </c>
      <c r="L762">
        <v>551</v>
      </c>
      <c r="M762">
        <v>49.9</v>
      </c>
    </row>
    <row r="763" spans="1:13">
      <c r="A763" s="216">
        <v>2501</v>
      </c>
      <c r="C763">
        <v>-58</v>
      </c>
      <c r="H763" s="238">
        <v>0</v>
      </c>
      <c r="J763" s="228">
        <v>0</v>
      </c>
      <c r="L763">
        <v>551</v>
      </c>
      <c r="M763">
        <v>49.84</v>
      </c>
    </row>
    <row r="764" spans="1:13">
      <c r="A764" s="216">
        <v>2504</v>
      </c>
      <c r="C764">
        <v>-584</v>
      </c>
      <c r="H764" s="238">
        <v>0</v>
      </c>
      <c r="J764" s="228">
        <v>0</v>
      </c>
      <c r="L764">
        <v>551</v>
      </c>
      <c r="M764">
        <v>49.77</v>
      </c>
    </row>
    <row r="765" spans="1:13">
      <c r="A765" s="216">
        <v>2505</v>
      </c>
      <c r="C765">
        <v>-10</v>
      </c>
      <c r="H765" s="238">
        <v>0</v>
      </c>
      <c r="J765" s="228">
        <v>0</v>
      </c>
      <c r="L765">
        <v>551</v>
      </c>
      <c r="M765">
        <v>49.7</v>
      </c>
    </row>
    <row r="766" spans="1:13">
      <c r="A766" s="216">
        <v>2506</v>
      </c>
      <c r="H766" s="238">
        <v>0</v>
      </c>
      <c r="J766" s="228">
        <v>0</v>
      </c>
      <c r="L766">
        <v>551</v>
      </c>
      <c r="M766">
        <v>49.64</v>
      </c>
    </row>
    <row r="767" spans="1:13">
      <c r="A767" s="216">
        <v>2515</v>
      </c>
      <c r="C767">
        <v>-632</v>
      </c>
      <c r="H767" s="238">
        <v>0</v>
      </c>
      <c r="J767" s="228">
        <v>0</v>
      </c>
      <c r="L767">
        <v>551</v>
      </c>
      <c r="M767">
        <v>49.57</v>
      </c>
    </row>
    <row r="768" spans="1:13">
      <c r="A768" s="216">
        <v>2524</v>
      </c>
      <c r="C768">
        <v>173</v>
      </c>
      <c r="D768">
        <v>11128</v>
      </c>
      <c r="E768">
        <v>0</v>
      </c>
      <c r="F768">
        <v>10617</v>
      </c>
      <c r="G768">
        <v>15073</v>
      </c>
      <c r="H768" s="238">
        <v>0</v>
      </c>
      <c r="J768" s="228">
        <v>0</v>
      </c>
      <c r="L768">
        <v>551</v>
      </c>
      <c r="M768">
        <v>49.51</v>
      </c>
    </row>
    <row r="769" spans="1:13">
      <c r="A769" s="216">
        <v>2527</v>
      </c>
      <c r="C769">
        <v>-23</v>
      </c>
      <c r="H769" s="238">
        <v>0</v>
      </c>
      <c r="J769" s="228">
        <v>0</v>
      </c>
      <c r="L769">
        <v>551</v>
      </c>
      <c r="M769">
        <v>49.44</v>
      </c>
    </row>
    <row r="770" spans="1:13">
      <c r="A770" s="216">
        <v>2528</v>
      </c>
      <c r="H770" s="238">
        <v>0</v>
      </c>
      <c r="J770" s="228">
        <v>0</v>
      </c>
      <c r="L770">
        <v>551</v>
      </c>
      <c r="M770">
        <v>49.37</v>
      </c>
    </row>
    <row r="771" spans="1:13">
      <c r="A771" s="216">
        <v>2534</v>
      </c>
      <c r="C771">
        <v>6</v>
      </c>
      <c r="D771">
        <v>9167</v>
      </c>
      <c r="E771">
        <v>5</v>
      </c>
      <c r="F771">
        <v>8869</v>
      </c>
      <c r="G771">
        <v>9163</v>
      </c>
      <c r="H771" s="238">
        <v>0</v>
      </c>
      <c r="J771" s="228">
        <v>0</v>
      </c>
      <c r="L771">
        <v>551</v>
      </c>
      <c r="M771">
        <v>49.31</v>
      </c>
    </row>
    <row r="772" spans="1:13">
      <c r="A772" s="216">
        <v>2537</v>
      </c>
      <c r="C772">
        <v>-5</v>
      </c>
      <c r="H772" s="238">
        <v>0</v>
      </c>
      <c r="J772" s="228">
        <v>0</v>
      </c>
      <c r="L772">
        <v>551</v>
      </c>
      <c r="M772">
        <v>49.24</v>
      </c>
    </row>
    <row r="773" spans="1:13">
      <c r="A773" s="216">
        <v>2538</v>
      </c>
      <c r="C773">
        <v>9</v>
      </c>
      <c r="D773">
        <v>6556</v>
      </c>
      <c r="E773">
        <v>1</v>
      </c>
      <c r="F773">
        <v>9016</v>
      </c>
      <c r="G773">
        <v>3315</v>
      </c>
      <c r="H773" s="238">
        <v>0</v>
      </c>
      <c r="J773" s="228">
        <v>0</v>
      </c>
      <c r="L773">
        <v>551</v>
      </c>
      <c r="M773">
        <v>49.18</v>
      </c>
    </row>
    <row r="774" spans="1:13">
      <c r="A774" s="216">
        <v>2539</v>
      </c>
      <c r="C774">
        <v>-7</v>
      </c>
      <c r="H774" s="238">
        <v>0</v>
      </c>
      <c r="J774" s="228">
        <v>0</v>
      </c>
      <c r="L774">
        <v>551</v>
      </c>
      <c r="M774">
        <v>49.11</v>
      </c>
    </row>
    <row r="775" spans="1:13">
      <c r="A775" s="216">
        <v>2543</v>
      </c>
      <c r="H775" s="238">
        <v>0</v>
      </c>
      <c r="J775" s="228">
        <v>0</v>
      </c>
      <c r="L775">
        <v>551</v>
      </c>
      <c r="M775">
        <v>49.05</v>
      </c>
    </row>
    <row r="776" spans="1:13">
      <c r="A776" s="216">
        <v>2545</v>
      </c>
      <c r="H776" s="238">
        <v>0</v>
      </c>
      <c r="J776" s="228">
        <v>0</v>
      </c>
      <c r="L776">
        <v>551</v>
      </c>
      <c r="M776">
        <v>48.98</v>
      </c>
    </row>
    <row r="777" spans="1:13">
      <c r="A777" s="216">
        <v>2546</v>
      </c>
      <c r="C777">
        <v>103</v>
      </c>
      <c r="D777">
        <v>1634</v>
      </c>
      <c r="E777">
        <v>65</v>
      </c>
      <c r="F777">
        <v>2048</v>
      </c>
      <c r="G777">
        <v>0</v>
      </c>
      <c r="H777" s="238">
        <v>0</v>
      </c>
      <c r="J777" s="228">
        <v>0</v>
      </c>
      <c r="L777">
        <v>551</v>
      </c>
      <c r="M777">
        <v>48.91</v>
      </c>
    </row>
    <row r="778" spans="1:13">
      <c r="A778" s="216">
        <v>2547</v>
      </c>
      <c r="C778">
        <v>-478</v>
      </c>
      <c r="H778" s="238">
        <v>0</v>
      </c>
      <c r="J778" s="228">
        <v>0</v>
      </c>
      <c r="L778">
        <v>551</v>
      </c>
      <c r="M778">
        <v>48.85</v>
      </c>
    </row>
    <row r="779" spans="1:13">
      <c r="A779" s="216">
        <v>2601</v>
      </c>
      <c r="H779" s="238">
        <v>0</v>
      </c>
      <c r="J779" s="228">
        <v>0</v>
      </c>
      <c r="L779">
        <v>551</v>
      </c>
      <c r="M779">
        <v>48.78</v>
      </c>
    </row>
    <row r="780" spans="1:13">
      <c r="A780" s="216">
        <v>2603</v>
      </c>
      <c r="C780">
        <v>-2409</v>
      </c>
      <c r="H780" s="238">
        <v>0</v>
      </c>
      <c r="J780" s="228">
        <v>0</v>
      </c>
      <c r="L780">
        <v>551</v>
      </c>
      <c r="M780">
        <v>48.72</v>
      </c>
    </row>
    <row r="781" spans="1:13">
      <c r="A781" s="216">
        <v>2606</v>
      </c>
      <c r="C781">
        <v>150</v>
      </c>
      <c r="D781">
        <v>15126</v>
      </c>
      <c r="E781">
        <v>29965</v>
      </c>
      <c r="F781">
        <v>27897</v>
      </c>
      <c r="G781">
        <v>11929</v>
      </c>
      <c r="H781" s="238">
        <v>0</v>
      </c>
      <c r="J781" s="228">
        <v>0</v>
      </c>
      <c r="L781">
        <v>551</v>
      </c>
      <c r="M781">
        <v>48.65</v>
      </c>
    </row>
    <row r="782" spans="1:13">
      <c r="A782" s="216">
        <v>2609</v>
      </c>
      <c r="C782">
        <v>-3026</v>
      </c>
      <c r="H782" s="238">
        <v>0</v>
      </c>
      <c r="J782" s="228">
        <v>0</v>
      </c>
      <c r="L782">
        <v>551</v>
      </c>
      <c r="M782">
        <v>48.58</v>
      </c>
    </row>
    <row r="783" spans="1:13">
      <c r="A783" s="216">
        <v>2611</v>
      </c>
      <c r="H783" s="238">
        <v>0</v>
      </c>
      <c r="J783" s="228">
        <v>0</v>
      </c>
      <c r="L783">
        <v>551</v>
      </c>
      <c r="M783">
        <v>48.52</v>
      </c>
    </row>
    <row r="784" spans="1:13">
      <c r="A784" s="216">
        <v>2613</v>
      </c>
      <c r="C784">
        <v>7</v>
      </c>
      <c r="D784">
        <v>0</v>
      </c>
      <c r="E784">
        <v>4002</v>
      </c>
      <c r="F784">
        <v>2641</v>
      </c>
      <c r="G784">
        <v>712</v>
      </c>
      <c r="H784" s="238">
        <v>0</v>
      </c>
      <c r="J784" s="228">
        <v>0</v>
      </c>
      <c r="L784">
        <v>551</v>
      </c>
      <c r="M784">
        <v>48.45</v>
      </c>
    </row>
    <row r="785" spans="1:13">
      <c r="A785" s="216">
        <v>2614</v>
      </c>
      <c r="C785">
        <v>-275</v>
      </c>
      <c r="H785" s="238">
        <v>0</v>
      </c>
      <c r="J785" s="228">
        <v>0</v>
      </c>
      <c r="L785">
        <v>551</v>
      </c>
      <c r="M785">
        <v>48.39</v>
      </c>
    </row>
    <row r="786" spans="1:13">
      <c r="A786" s="216">
        <v>2615</v>
      </c>
      <c r="H786" s="238">
        <v>0</v>
      </c>
      <c r="J786" s="228">
        <v>0</v>
      </c>
      <c r="L786">
        <v>551</v>
      </c>
      <c r="M786">
        <v>48.32</v>
      </c>
    </row>
    <row r="787" spans="1:13">
      <c r="A787" s="216">
        <v>2617</v>
      </c>
      <c r="H787" s="238">
        <v>0</v>
      </c>
      <c r="J787" s="228">
        <v>0</v>
      </c>
      <c r="L787">
        <v>551</v>
      </c>
      <c r="M787">
        <v>48.26</v>
      </c>
    </row>
    <row r="788" spans="1:13">
      <c r="A788" s="216">
        <v>2634</v>
      </c>
      <c r="H788" s="238">
        <v>0</v>
      </c>
      <c r="J788" s="228">
        <v>0</v>
      </c>
      <c r="L788">
        <v>551</v>
      </c>
      <c r="M788">
        <v>48.19</v>
      </c>
    </row>
    <row r="789" spans="1:13">
      <c r="A789" s="216">
        <v>2642</v>
      </c>
      <c r="C789">
        <v>5</v>
      </c>
      <c r="D789">
        <v>925</v>
      </c>
      <c r="E789">
        <v>368</v>
      </c>
      <c r="F789">
        <v>1610</v>
      </c>
      <c r="G789">
        <v>0</v>
      </c>
      <c r="H789" s="238">
        <v>0</v>
      </c>
      <c r="J789" s="228">
        <v>0</v>
      </c>
      <c r="L789">
        <v>551</v>
      </c>
      <c r="M789">
        <v>48.12</v>
      </c>
    </row>
    <row r="790" spans="1:13">
      <c r="A790" s="216">
        <v>2701</v>
      </c>
      <c r="C790">
        <v>42</v>
      </c>
      <c r="D790">
        <v>963</v>
      </c>
      <c r="E790">
        <v>369</v>
      </c>
      <c r="F790">
        <v>6724</v>
      </c>
      <c r="G790">
        <v>0</v>
      </c>
      <c r="H790" s="238">
        <v>0</v>
      </c>
      <c r="J790" s="228">
        <v>0</v>
      </c>
      <c r="L790">
        <v>551</v>
      </c>
      <c r="M790">
        <v>48.06</v>
      </c>
    </row>
    <row r="791" spans="1:13">
      <c r="A791" s="216">
        <v>2705</v>
      </c>
      <c r="H791" s="238">
        <v>0</v>
      </c>
      <c r="J791" s="228">
        <v>0</v>
      </c>
      <c r="L791">
        <v>551</v>
      </c>
      <c r="M791">
        <v>47.99</v>
      </c>
    </row>
    <row r="792" spans="1:13">
      <c r="A792" s="216">
        <v>2706</v>
      </c>
      <c r="H792" s="238">
        <v>0</v>
      </c>
      <c r="J792" s="228">
        <v>0</v>
      </c>
      <c r="L792">
        <v>551</v>
      </c>
      <c r="M792">
        <v>47.93</v>
      </c>
    </row>
    <row r="793" spans="1:13">
      <c r="A793" s="216">
        <v>2722</v>
      </c>
      <c r="C793">
        <v>105</v>
      </c>
      <c r="D793">
        <v>0</v>
      </c>
      <c r="E793">
        <v>395</v>
      </c>
      <c r="F793">
        <v>1581</v>
      </c>
      <c r="G793">
        <v>0</v>
      </c>
      <c r="H793" s="238">
        <v>0</v>
      </c>
      <c r="J793" s="228">
        <v>0</v>
      </c>
      <c r="L793">
        <v>551</v>
      </c>
      <c r="M793">
        <v>47.86</v>
      </c>
    </row>
    <row r="794" spans="1:13">
      <c r="A794" s="216">
        <v>2841</v>
      </c>
      <c r="C794">
        <v>-74</v>
      </c>
      <c r="H794" s="238">
        <v>0</v>
      </c>
      <c r="J794" s="228">
        <v>0</v>
      </c>
      <c r="L794">
        <v>551</v>
      </c>
      <c r="M794">
        <v>47.79</v>
      </c>
    </row>
    <row r="795" spans="1:13">
      <c r="A795" s="216">
        <v>2901</v>
      </c>
      <c r="C795">
        <v>24</v>
      </c>
      <c r="D795">
        <v>331</v>
      </c>
      <c r="E795">
        <v>451</v>
      </c>
      <c r="F795">
        <v>863</v>
      </c>
      <c r="G795">
        <v>0</v>
      </c>
      <c r="H795" s="238">
        <v>0</v>
      </c>
      <c r="J795" s="228">
        <v>0</v>
      </c>
      <c r="L795">
        <v>551</v>
      </c>
      <c r="M795">
        <v>47.73</v>
      </c>
    </row>
    <row r="796" spans="1:13">
      <c r="A796" s="216">
        <v>2903</v>
      </c>
      <c r="H796" s="238">
        <v>0</v>
      </c>
      <c r="J796" s="228">
        <v>0</v>
      </c>
      <c r="L796">
        <v>551</v>
      </c>
      <c r="M796">
        <v>47.66</v>
      </c>
    </row>
    <row r="797" spans="1:13">
      <c r="A797" s="216">
        <v>2904</v>
      </c>
      <c r="C797">
        <v>29</v>
      </c>
      <c r="D797">
        <v>624</v>
      </c>
      <c r="E797">
        <v>250</v>
      </c>
      <c r="F797">
        <v>943</v>
      </c>
      <c r="G797">
        <v>0</v>
      </c>
      <c r="H797" s="238">
        <v>0</v>
      </c>
      <c r="J797" s="228">
        <v>0</v>
      </c>
      <c r="L797">
        <v>551</v>
      </c>
      <c r="M797">
        <v>47.6</v>
      </c>
    </row>
    <row r="798" spans="1:13">
      <c r="A798" s="216">
        <v>2906</v>
      </c>
      <c r="H798" s="238">
        <v>0</v>
      </c>
      <c r="J798" s="228">
        <v>0</v>
      </c>
      <c r="L798">
        <v>551</v>
      </c>
      <c r="M798">
        <v>47.53</v>
      </c>
    </row>
    <row r="799" spans="1:13">
      <c r="A799" s="216">
        <v>2908</v>
      </c>
      <c r="H799" s="238">
        <v>0</v>
      </c>
      <c r="J799" s="228">
        <v>0</v>
      </c>
      <c r="L799">
        <v>551</v>
      </c>
      <c r="M799">
        <v>47.47</v>
      </c>
    </row>
    <row r="800" spans="1:13">
      <c r="A800" s="216">
        <v>2911</v>
      </c>
      <c r="C800">
        <v>-30</v>
      </c>
      <c r="H800" s="238">
        <v>0</v>
      </c>
      <c r="J800" s="228">
        <v>0</v>
      </c>
      <c r="L800">
        <v>551</v>
      </c>
      <c r="M800">
        <v>47.4</v>
      </c>
    </row>
    <row r="801" spans="1:13">
      <c r="A801" s="216">
        <v>2915</v>
      </c>
      <c r="H801" s="238">
        <v>0</v>
      </c>
      <c r="J801" s="228">
        <v>0</v>
      </c>
      <c r="L801">
        <v>551</v>
      </c>
      <c r="M801">
        <v>47.33</v>
      </c>
    </row>
    <row r="802" spans="1:13">
      <c r="A802" s="216">
        <v>2929</v>
      </c>
      <c r="C802">
        <v>191</v>
      </c>
      <c r="D802">
        <v>2874</v>
      </c>
      <c r="E802">
        <v>442</v>
      </c>
      <c r="F802">
        <v>3323</v>
      </c>
      <c r="G802">
        <v>0</v>
      </c>
      <c r="H802" s="238">
        <v>0</v>
      </c>
      <c r="J802" s="228">
        <v>0</v>
      </c>
      <c r="L802">
        <v>551</v>
      </c>
      <c r="M802">
        <v>47.27</v>
      </c>
    </row>
    <row r="803" spans="1:13">
      <c r="A803" s="216">
        <v>3002</v>
      </c>
      <c r="C803">
        <v>9</v>
      </c>
      <c r="D803">
        <v>1224</v>
      </c>
      <c r="E803">
        <v>215</v>
      </c>
      <c r="F803">
        <v>1334</v>
      </c>
      <c r="G803">
        <v>0</v>
      </c>
      <c r="H803" s="238">
        <v>0</v>
      </c>
      <c r="J803" s="228">
        <v>0</v>
      </c>
      <c r="L803">
        <v>551</v>
      </c>
      <c r="M803">
        <v>47.2</v>
      </c>
    </row>
    <row r="804" spans="1:13">
      <c r="A804" s="216">
        <v>3006</v>
      </c>
      <c r="C804">
        <v>0</v>
      </c>
      <c r="H804" s="238">
        <v>0</v>
      </c>
      <c r="J804" s="228">
        <v>0</v>
      </c>
      <c r="L804">
        <v>551</v>
      </c>
      <c r="M804">
        <v>47.14</v>
      </c>
    </row>
    <row r="805" spans="1:13">
      <c r="A805" s="216">
        <v>3010</v>
      </c>
      <c r="H805" s="238">
        <v>0</v>
      </c>
      <c r="J805" s="228">
        <v>0</v>
      </c>
      <c r="L805">
        <v>551</v>
      </c>
      <c r="M805">
        <v>47.07</v>
      </c>
    </row>
    <row r="806" spans="1:13">
      <c r="A806" s="216">
        <v>3011</v>
      </c>
      <c r="C806">
        <v>-39</v>
      </c>
      <c r="H806" s="238">
        <v>0</v>
      </c>
      <c r="J806" s="228">
        <v>0</v>
      </c>
      <c r="L806">
        <v>551</v>
      </c>
      <c r="M806">
        <v>47</v>
      </c>
    </row>
    <row r="807" spans="1:13">
      <c r="A807" s="216">
        <v>3014</v>
      </c>
      <c r="C807">
        <v>129</v>
      </c>
      <c r="D807">
        <v>2756</v>
      </c>
      <c r="E807">
        <v>273</v>
      </c>
      <c r="F807">
        <v>3595</v>
      </c>
      <c r="G807">
        <v>0</v>
      </c>
      <c r="H807" s="238">
        <v>0</v>
      </c>
      <c r="J807" s="228">
        <v>0</v>
      </c>
      <c r="L807">
        <v>551</v>
      </c>
      <c r="M807">
        <v>46.94</v>
      </c>
    </row>
    <row r="808" spans="1:13">
      <c r="A808" s="216">
        <v>3015</v>
      </c>
      <c r="C808">
        <v>-16</v>
      </c>
      <c r="H808" s="238">
        <v>0</v>
      </c>
      <c r="J808" s="228">
        <v>0</v>
      </c>
      <c r="L808">
        <v>551</v>
      </c>
      <c r="M808">
        <v>46.87</v>
      </c>
    </row>
    <row r="809" spans="1:13">
      <c r="A809" s="216">
        <v>3016</v>
      </c>
      <c r="C809">
        <v>3</v>
      </c>
      <c r="D809">
        <v>521</v>
      </c>
      <c r="E809">
        <v>469</v>
      </c>
      <c r="F809">
        <v>1076</v>
      </c>
      <c r="G809">
        <v>0</v>
      </c>
      <c r="H809" s="238">
        <v>0</v>
      </c>
      <c r="J809" s="228">
        <v>0</v>
      </c>
      <c r="L809">
        <v>551</v>
      </c>
      <c r="M809">
        <v>46.81</v>
      </c>
    </row>
    <row r="810" spans="1:13">
      <c r="A810" s="216">
        <v>3021</v>
      </c>
      <c r="H810" s="238">
        <v>0</v>
      </c>
      <c r="J810" s="228">
        <v>0</v>
      </c>
      <c r="L810">
        <v>551</v>
      </c>
      <c r="M810">
        <v>46.74</v>
      </c>
    </row>
    <row r="811" spans="1:13">
      <c r="A811" s="216">
        <v>3024</v>
      </c>
      <c r="H811" s="238">
        <v>0</v>
      </c>
      <c r="J811" s="228">
        <v>0</v>
      </c>
      <c r="L811">
        <v>551</v>
      </c>
      <c r="M811">
        <v>46.68</v>
      </c>
    </row>
    <row r="812" spans="1:13">
      <c r="A812" s="216">
        <v>3025</v>
      </c>
      <c r="C812">
        <v>-13</v>
      </c>
      <c r="H812" s="238">
        <v>0</v>
      </c>
      <c r="J812" s="228">
        <v>0</v>
      </c>
      <c r="L812">
        <v>551</v>
      </c>
      <c r="M812">
        <v>46.61</v>
      </c>
    </row>
    <row r="813" spans="1:13">
      <c r="A813" s="216">
        <v>3027</v>
      </c>
      <c r="C813">
        <v>3</v>
      </c>
      <c r="D813">
        <v>871</v>
      </c>
      <c r="E813">
        <v>538</v>
      </c>
      <c r="F813">
        <v>1606</v>
      </c>
      <c r="G813">
        <v>721</v>
      </c>
      <c r="H813" s="238">
        <v>0</v>
      </c>
      <c r="J813" s="228">
        <v>0</v>
      </c>
      <c r="L813">
        <v>551</v>
      </c>
      <c r="M813">
        <v>46.54</v>
      </c>
    </row>
    <row r="814" spans="1:13">
      <c r="A814" s="216">
        <v>3028</v>
      </c>
      <c r="H814" s="238">
        <v>0</v>
      </c>
      <c r="J814" s="228">
        <v>0</v>
      </c>
      <c r="L814">
        <v>551</v>
      </c>
      <c r="M814">
        <v>46.48</v>
      </c>
    </row>
    <row r="815" spans="1:13">
      <c r="A815" s="216">
        <v>3030</v>
      </c>
      <c r="C815">
        <v>426</v>
      </c>
      <c r="D815">
        <v>3540</v>
      </c>
      <c r="E815">
        <v>2223</v>
      </c>
      <c r="F815">
        <v>5676</v>
      </c>
      <c r="G815">
        <v>0</v>
      </c>
      <c r="H815" s="238">
        <v>0</v>
      </c>
      <c r="J815" s="228">
        <v>0</v>
      </c>
      <c r="L815">
        <v>551</v>
      </c>
      <c r="M815">
        <v>46.41</v>
      </c>
    </row>
    <row r="816" spans="1:13">
      <c r="A816" s="216">
        <v>3031</v>
      </c>
      <c r="H816" s="238">
        <v>0</v>
      </c>
      <c r="J816" s="228">
        <v>0</v>
      </c>
      <c r="L816">
        <v>551</v>
      </c>
      <c r="M816">
        <v>46.35</v>
      </c>
    </row>
    <row r="817" spans="1:13">
      <c r="A817" s="216">
        <v>3032</v>
      </c>
      <c r="H817" s="238">
        <v>0</v>
      </c>
      <c r="J817" s="228">
        <v>0</v>
      </c>
      <c r="L817">
        <v>551</v>
      </c>
      <c r="M817">
        <v>46.28</v>
      </c>
    </row>
    <row r="818" spans="1:13">
      <c r="A818" s="216">
        <v>3040</v>
      </c>
      <c r="C818">
        <v>5</v>
      </c>
      <c r="D818">
        <v>1032</v>
      </c>
      <c r="E818">
        <v>17</v>
      </c>
      <c r="F818">
        <v>1647</v>
      </c>
      <c r="G818">
        <v>0</v>
      </c>
      <c r="H818" s="238">
        <v>0</v>
      </c>
      <c r="J818" s="228">
        <v>0</v>
      </c>
      <c r="L818">
        <v>551</v>
      </c>
      <c r="M818">
        <v>46.21</v>
      </c>
    </row>
    <row r="819" spans="1:13">
      <c r="A819" s="216">
        <v>3041</v>
      </c>
      <c r="C819">
        <v>-40</v>
      </c>
      <c r="H819" s="238">
        <v>0</v>
      </c>
      <c r="J819" s="228">
        <v>0</v>
      </c>
      <c r="L819">
        <v>551</v>
      </c>
      <c r="M819">
        <v>46.15</v>
      </c>
    </row>
    <row r="820" spans="1:13">
      <c r="A820" s="216">
        <v>3043</v>
      </c>
      <c r="C820">
        <v>-52</v>
      </c>
      <c r="H820" s="238">
        <v>0</v>
      </c>
      <c r="J820" s="228">
        <v>0</v>
      </c>
      <c r="L820">
        <v>551</v>
      </c>
      <c r="M820">
        <v>46.08</v>
      </c>
    </row>
    <row r="821" spans="1:13">
      <c r="A821" s="216">
        <v>3046</v>
      </c>
      <c r="C821">
        <v>-31</v>
      </c>
      <c r="H821" s="238">
        <v>0</v>
      </c>
      <c r="J821" s="228">
        <v>0</v>
      </c>
      <c r="L821">
        <v>551</v>
      </c>
      <c r="M821">
        <v>46.02</v>
      </c>
    </row>
    <row r="822" spans="1:13">
      <c r="A822" s="216">
        <v>3050</v>
      </c>
      <c r="H822" s="238">
        <v>0</v>
      </c>
      <c r="J822" s="228">
        <v>0</v>
      </c>
      <c r="L822">
        <v>551</v>
      </c>
      <c r="M822">
        <v>45.95</v>
      </c>
    </row>
    <row r="823" spans="1:13">
      <c r="A823" s="216">
        <v>3051</v>
      </c>
      <c r="H823" s="238">
        <v>0</v>
      </c>
      <c r="J823" s="228">
        <v>0</v>
      </c>
      <c r="L823">
        <v>551</v>
      </c>
      <c r="M823">
        <v>45.89</v>
      </c>
    </row>
    <row r="824" spans="1:13">
      <c r="A824" s="216">
        <v>3054</v>
      </c>
      <c r="C824">
        <v>-30</v>
      </c>
      <c r="H824" s="238">
        <v>0</v>
      </c>
      <c r="J824" s="228">
        <v>0</v>
      </c>
      <c r="L824">
        <v>551</v>
      </c>
      <c r="M824">
        <v>45.82</v>
      </c>
    </row>
    <row r="825" spans="1:13">
      <c r="A825" s="216">
        <v>3055</v>
      </c>
      <c r="H825" s="238">
        <v>0</v>
      </c>
      <c r="J825" s="228">
        <v>0</v>
      </c>
      <c r="L825">
        <v>551</v>
      </c>
      <c r="M825">
        <v>45.75</v>
      </c>
    </row>
    <row r="826" spans="1:13">
      <c r="A826" s="216">
        <v>3057</v>
      </c>
      <c r="C826">
        <v>-12</v>
      </c>
      <c r="H826" s="238">
        <v>0</v>
      </c>
      <c r="J826" s="228">
        <v>0</v>
      </c>
      <c r="L826">
        <v>551</v>
      </c>
      <c r="M826">
        <v>45.69</v>
      </c>
    </row>
    <row r="827" spans="1:13">
      <c r="A827" s="216">
        <v>3062</v>
      </c>
      <c r="C827">
        <v>90</v>
      </c>
      <c r="D827">
        <v>3186</v>
      </c>
      <c r="E827">
        <v>933</v>
      </c>
      <c r="F827">
        <v>5623</v>
      </c>
      <c r="G827">
        <v>0</v>
      </c>
      <c r="H827" s="238">
        <v>0</v>
      </c>
      <c r="J827" s="228">
        <v>0</v>
      </c>
      <c r="L827">
        <v>551</v>
      </c>
      <c r="M827">
        <v>45.62</v>
      </c>
    </row>
    <row r="828" spans="1:13">
      <c r="A828" s="216">
        <v>3094</v>
      </c>
      <c r="C828">
        <v>9</v>
      </c>
      <c r="D828">
        <v>931</v>
      </c>
      <c r="E828">
        <v>132</v>
      </c>
      <c r="F828">
        <v>1231</v>
      </c>
      <c r="G828">
        <v>0</v>
      </c>
      <c r="H828" s="238">
        <v>0</v>
      </c>
      <c r="J828" s="228">
        <v>0</v>
      </c>
      <c r="L828">
        <v>551</v>
      </c>
      <c r="M828">
        <v>45.56</v>
      </c>
    </row>
    <row r="829" spans="1:13">
      <c r="A829" s="216">
        <v>3130</v>
      </c>
      <c r="C829">
        <v>98</v>
      </c>
      <c r="D829">
        <v>1133</v>
      </c>
      <c r="E829">
        <v>190</v>
      </c>
      <c r="F829">
        <v>1368</v>
      </c>
      <c r="G829">
        <v>0</v>
      </c>
      <c r="H829" s="238">
        <v>0</v>
      </c>
      <c r="J829" s="228">
        <v>0</v>
      </c>
      <c r="L829">
        <v>551</v>
      </c>
      <c r="M829">
        <v>45.49</v>
      </c>
    </row>
    <row r="830" spans="1:13">
      <c r="A830" s="216">
        <v>3149</v>
      </c>
      <c r="H830" s="238">
        <v>0</v>
      </c>
      <c r="J830" s="228">
        <v>0</v>
      </c>
      <c r="L830">
        <v>551</v>
      </c>
      <c r="M830">
        <v>45.42</v>
      </c>
    </row>
    <row r="831" spans="1:13">
      <c r="A831" s="216">
        <v>3164</v>
      </c>
      <c r="H831" s="238">
        <v>0</v>
      </c>
      <c r="J831" s="228">
        <v>0</v>
      </c>
      <c r="L831">
        <v>551</v>
      </c>
      <c r="M831">
        <v>45.36</v>
      </c>
    </row>
    <row r="832" spans="1:13">
      <c r="A832" s="216">
        <v>3167</v>
      </c>
      <c r="H832" s="238">
        <v>0</v>
      </c>
      <c r="J832" s="228">
        <v>0</v>
      </c>
      <c r="L832">
        <v>551</v>
      </c>
      <c r="M832">
        <v>45.29</v>
      </c>
    </row>
    <row r="833" spans="1:13">
      <c r="A833" s="216">
        <v>3229</v>
      </c>
      <c r="C833">
        <v>-16</v>
      </c>
      <c r="H833" s="238">
        <v>0</v>
      </c>
      <c r="J833" s="228">
        <v>0</v>
      </c>
      <c r="L833">
        <v>551</v>
      </c>
      <c r="M833">
        <v>45.23</v>
      </c>
    </row>
    <row r="834" spans="1:13">
      <c r="A834" s="216">
        <v>3266</v>
      </c>
      <c r="C834">
        <v>-619</v>
      </c>
      <c r="H834" s="238">
        <v>0</v>
      </c>
      <c r="J834" s="228">
        <v>0</v>
      </c>
      <c r="L834">
        <v>551</v>
      </c>
      <c r="M834">
        <v>45.16</v>
      </c>
    </row>
    <row r="835" spans="1:13">
      <c r="A835" s="216">
        <v>3296</v>
      </c>
      <c r="C835">
        <v>15</v>
      </c>
      <c r="D835">
        <v>1409</v>
      </c>
      <c r="E835">
        <v>370</v>
      </c>
      <c r="F835">
        <v>1830</v>
      </c>
      <c r="G835">
        <v>0</v>
      </c>
      <c r="H835" s="238">
        <v>0</v>
      </c>
      <c r="J835" s="228">
        <v>0</v>
      </c>
      <c r="L835">
        <v>551</v>
      </c>
      <c r="M835">
        <v>45.1</v>
      </c>
    </row>
    <row r="836" spans="1:13">
      <c r="A836" s="216">
        <v>3308</v>
      </c>
      <c r="C836">
        <v>6</v>
      </c>
      <c r="D836">
        <v>954</v>
      </c>
      <c r="E836">
        <v>589</v>
      </c>
      <c r="F836">
        <v>1180</v>
      </c>
      <c r="G836">
        <v>652</v>
      </c>
      <c r="H836" s="238">
        <v>0</v>
      </c>
      <c r="J836" s="228">
        <v>0</v>
      </c>
      <c r="L836">
        <v>551</v>
      </c>
      <c r="M836">
        <v>45.03</v>
      </c>
    </row>
    <row r="837" spans="1:13">
      <c r="A837" s="216">
        <v>3311</v>
      </c>
      <c r="H837" s="238">
        <v>0</v>
      </c>
      <c r="J837" s="228">
        <v>0</v>
      </c>
      <c r="L837">
        <v>551</v>
      </c>
      <c r="M837">
        <v>44.96</v>
      </c>
    </row>
    <row r="838" spans="1:13">
      <c r="A838" s="216">
        <v>3312</v>
      </c>
      <c r="H838" s="238">
        <v>0</v>
      </c>
      <c r="J838" s="228">
        <v>0</v>
      </c>
      <c r="L838">
        <v>551</v>
      </c>
      <c r="M838">
        <v>44.9</v>
      </c>
    </row>
    <row r="839" spans="1:13">
      <c r="A839" s="216">
        <v>3356</v>
      </c>
      <c r="C839">
        <v>80</v>
      </c>
      <c r="D839">
        <v>1609</v>
      </c>
      <c r="E839">
        <v>166</v>
      </c>
      <c r="F839">
        <v>1918</v>
      </c>
      <c r="G839">
        <v>0</v>
      </c>
      <c r="H839" s="238">
        <v>0</v>
      </c>
      <c r="J839" s="228">
        <v>0</v>
      </c>
      <c r="L839">
        <v>551</v>
      </c>
      <c r="M839">
        <v>44.83</v>
      </c>
    </row>
    <row r="840" spans="1:13">
      <c r="A840" s="216">
        <v>3380</v>
      </c>
      <c r="C840">
        <v>-16</v>
      </c>
      <c r="H840" s="238">
        <v>0</v>
      </c>
      <c r="J840" s="228">
        <v>0</v>
      </c>
      <c r="L840">
        <v>551</v>
      </c>
      <c r="M840">
        <v>44.77</v>
      </c>
    </row>
    <row r="841" spans="1:13">
      <c r="A841" s="216">
        <v>3383</v>
      </c>
      <c r="H841" s="238">
        <v>0</v>
      </c>
      <c r="J841" s="228">
        <v>0</v>
      </c>
      <c r="L841">
        <v>551</v>
      </c>
      <c r="M841">
        <v>44.7</v>
      </c>
    </row>
    <row r="842" spans="1:13">
      <c r="A842" s="216">
        <v>3406</v>
      </c>
      <c r="C842">
        <v>1</v>
      </c>
      <c r="D842">
        <v>0</v>
      </c>
      <c r="E842">
        <v>8621</v>
      </c>
      <c r="F842">
        <v>7078</v>
      </c>
      <c r="G842">
        <v>4835</v>
      </c>
      <c r="H842" s="238">
        <v>0</v>
      </c>
      <c r="J842" s="228">
        <v>0</v>
      </c>
      <c r="L842">
        <v>551</v>
      </c>
      <c r="M842">
        <v>44.63</v>
      </c>
    </row>
    <row r="843" spans="1:13">
      <c r="A843" s="216">
        <v>3413</v>
      </c>
      <c r="H843" s="238">
        <v>0</v>
      </c>
      <c r="J843" s="228">
        <v>0</v>
      </c>
      <c r="L843">
        <v>551</v>
      </c>
      <c r="M843">
        <v>44.57</v>
      </c>
    </row>
    <row r="844" spans="1:13">
      <c r="A844" s="216">
        <v>3416</v>
      </c>
      <c r="C844">
        <v>60</v>
      </c>
      <c r="D844">
        <v>994</v>
      </c>
      <c r="E844">
        <v>493</v>
      </c>
      <c r="F844">
        <v>1584</v>
      </c>
      <c r="G844">
        <v>0</v>
      </c>
      <c r="H844" s="238">
        <v>0</v>
      </c>
      <c r="J844" s="228">
        <v>0</v>
      </c>
      <c r="L844">
        <v>551</v>
      </c>
      <c r="M844">
        <v>44.5</v>
      </c>
    </row>
    <row r="845" spans="1:13">
      <c r="A845" s="216">
        <v>3419</v>
      </c>
      <c r="C845">
        <v>2</v>
      </c>
      <c r="D845">
        <v>830</v>
      </c>
      <c r="E845">
        <v>580</v>
      </c>
      <c r="F845">
        <v>1742</v>
      </c>
      <c r="G845">
        <v>429</v>
      </c>
      <c r="H845" s="238">
        <v>0</v>
      </c>
      <c r="J845" s="228">
        <v>0</v>
      </c>
      <c r="L845">
        <v>551</v>
      </c>
      <c r="M845">
        <v>44.44</v>
      </c>
    </row>
    <row r="846" spans="1:13">
      <c r="A846" s="216">
        <v>3432</v>
      </c>
      <c r="C846">
        <v>3</v>
      </c>
      <c r="D846">
        <v>915</v>
      </c>
      <c r="E846">
        <v>621</v>
      </c>
      <c r="F846">
        <v>1508</v>
      </c>
      <c r="G846">
        <v>112</v>
      </c>
      <c r="H846" s="238">
        <v>0</v>
      </c>
      <c r="J846" s="228">
        <v>0</v>
      </c>
      <c r="L846">
        <v>551</v>
      </c>
      <c r="M846">
        <v>44.37</v>
      </c>
    </row>
    <row r="847" spans="1:13">
      <c r="A847" s="216">
        <v>3437</v>
      </c>
      <c r="H847" s="238">
        <v>0</v>
      </c>
      <c r="J847" s="228">
        <v>0</v>
      </c>
      <c r="L847">
        <v>551</v>
      </c>
      <c r="M847">
        <v>44.31</v>
      </c>
    </row>
    <row r="848" spans="1:13">
      <c r="A848" s="216">
        <v>3443</v>
      </c>
      <c r="H848" s="238">
        <v>0</v>
      </c>
      <c r="J848" s="228">
        <v>0</v>
      </c>
      <c r="L848">
        <v>551</v>
      </c>
      <c r="M848">
        <v>44.24</v>
      </c>
    </row>
    <row r="849" spans="1:13">
      <c r="A849" s="216">
        <v>3494</v>
      </c>
      <c r="C849">
        <v>3</v>
      </c>
      <c r="D849">
        <v>642</v>
      </c>
      <c r="E849">
        <v>1634</v>
      </c>
      <c r="F849">
        <v>2816</v>
      </c>
      <c r="G849">
        <v>628</v>
      </c>
      <c r="H849" s="238">
        <v>0</v>
      </c>
      <c r="J849" s="228">
        <v>0</v>
      </c>
      <c r="L849">
        <v>551</v>
      </c>
      <c r="M849">
        <v>44.17</v>
      </c>
    </row>
    <row r="850" spans="1:13">
      <c r="A850" s="216">
        <v>3514</v>
      </c>
      <c r="H850" s="238">
        <v>0</v>
      </c>
      <c r="J850" s="228">
        <v>0</v>
      </c>
      <c r="L850">
        <v>551</v>
      </c>
      <c r="M850">
        <v>44.11</v>
      </c>
    </row>
    <row r="851" spans="1:13">
      <c r="A851" s="216">
        <v>3518</v>
      </c>
      <c r="H851" s="238">
        <v>0</v>
      </c>
      <c r="J851" s="228">
        <v>0</v>
      </c>
      <c r="L851">
        <v>551</v>
      </c>
      <c r="M851">
        <v>44.04</v>
      </c>
    </row>
    <row r="852" spans="1:13">
      <c r="A852" s="216">
        <v>3519</v>
      </c>
      <c r="H852" s="238">
        <v>0</v>
      </c>
      <c r="J852" s="228">
        <v>0</v>
      </c>
      <c r="L852">
        <v>551</v>
      </c>
      <c r="M852">
        <v>43.98</v>
      </c>
    </row>
    <row r="853" spans="1:13">
      <c r="A853" s="216">
        <v>3532</v>
      </c>
      <c r="C853">
        <v>438</v>
      </c>
      <c r="D853">
        <v>5037</v>
      </c>
      <c r="E853">
        <v>14770</v>
      </c>
      <c r="F853">
        <v>20027</v>
      </c>
      <c r="G853">
        <v>0</v>
      </c>
      <c r="H853" s="238">
        <v>0</v>
      </c>
      <c r="J853" s="228">
        <v>0</v>
      </c>
      <c r="L853">
        <v>551</v>
      </c>
      <c r="M853">
        <v>43.91</v>
      </c>
    </row>
    <row r="854" spans="1:13">
      <c r="A854" s="216">
        <v>3535</v>
      </c>
      <c r="H854" s="238">
        <v>0</v>
      </c>
      <c r="J854" s="228">
        <v>0</v>
      </c>
      <c r="L854">
        <v>551</v>
      </c>
      <c r="M854">
        <v>43.84</v>
      </c>
    </row>
    <row r="855" spans="1:13">
      <c r="A855" s="216">
        <v>3536</v>
      </c>
      <c r="C855">
        <v>-14</v>
      </c>
      <c r="H855" s="238">
        <v>0</v>
      </c>
      <c r="J855" s="228">
        <v>0</v>
      </c>
      <c r="L855">
        <v>551</v>
      </c>
      <c r="M855">
        <v>43.78</v>
      </c>
    </row>
    <row r="856" spans="1:13">
      <c r="A856" s="216">
        <v>3545</v>
      </c>
      <c r="C856">
        <v>-45</v>
      </c>
      <c r="H856" s="238">
        <v>0</v>
      </c>
      <c r="J856" s="228">
        <v>0</v>
      </c>
      <c r="L856">
        <v>551</v>
      </c>
      <c r="M856">
        <v>43.71</v>
      </c>
    </row>
    <row r="857" spans="1:13">
      <c r="A857" s="216">
        <v>3557</v>
      </c>
      <c r="C857">
        <v>-27</v>
      </c>
      <c r="H857" s="238">
        <v>0</v>
      </c>
      <c r="J857" s="228">
        <v>0</v>
      </c>
      <c r="L857">
        <v>551</v>
      </c>
      <c r="M857">
        <v>43.65</v>
      </c>
    </row>
    <row r="858" spans="1:13">
      <c r="A858" s="216">
        <v>3559</v>
      </c>
      <c r="C858">
        <v>87</v>
      </c>
      <c r="D858">
        <v>702</v>
      </c>
      <c r="E858">
        <v>1116</v>
      </c>
      <c r="F858">
        <v>1929</v>
      </c>
      <c r="G858">
        <v>0</v>
      </c>
      <c r="H858" s="238">
        <v>0</v>
      </c>
      <c r="J858" s="228">
        <v>0</v>
      </c>
      <c r="L858">
        <v>551</v>
      </c>
      <c r="M858">
        <v>43.58</v>
      </c>
    </row>
    <row r="859" spans="1:13">
      <c r="A859" s="216">
        <v>3561</v>
      </c>
      <c r="H859" s="238">
        <v>0</v>
      </c>
      <c r="J859" s="228">
        <v>0</v>
      </c>
      <c r="L859">
        <v>551</v>
      </c>
      <c r="M859">
        <v>43.52</v>
      </c>
    </row>
    <row r="860" spans="1:13">
      <c r="A860" s="216">
        <v>3573</v>
      </c>
      <c r="C860">
        <v>-85</v>
      </c>
      <c r="H860" s="238">
        <v>0</v>
      </c>
      <c r="J860" s="228">
        <v>0</v>
      </c>
      <c r="L860">
        <v>551</v>
      </c>
      <c r="M860">
        <v>43.45</v>
      </c>
    </row>
    <row r="861" spans="1:13">
      <c r="A861" s="216">
        <v>3576</v>
      </c>
      <c r="H861" s="238">
        <v>0</v>
      </c>
      <c r="J861" s="228">
        <v>0</v>
      </c>
      <c r="L861">
        <v>551</v>
      </c>
      <c r="M861">
        <v>43.38</v>
      </c>
    </row>
    <row r="862" spans="1:13">
      <c r="A862" s="216">
        <v>3579</v>
      </c>
      <c r="C862">
        <v>-205</v>
      </c>
      <c r="H862" s="238">
        <v>0</v>
      </c>
      <c r="J862" s="228">
        <v>0</v>
      </c>
      <c r="L862">
        <v>551</v>
      </c>
      <c r="M862">
        <v>43.32</v>
      </c>
    </row>
    <row r="863" spans="1:13">
      <c r="A863" s="216">
        <v>3583</v>
      </c>
      <c r="H863" s="238">
        <v>0</v>
      </c>
      <c r="J863" s="228">
        <v>0</v>
      </c>
      <c r="L863">
        <v>551</v>
      </c>
      <c r="M863">
        <v>43.25</v>
      </c>
    </row>
    <row r="864" spans="1:13">
      <c r="A864" s="216">
        <v>3584</v>
      </c>
      <c r="C864">
        <v>-308</v>
      </c>
      <c r="H864" s="238">
        <v>0</v>
      </c>
      <c r="J864" s="228">
        <v>0</v>
      </c>
      <c r="L864">
        <v>551</v>
      </c>
      <c r="M864">
        <v>43.19</v>
      </c>
    </row>
    <row r="865" spans="1:13">
      <c r="A865" s="216">
        <v>3588</v>
      </c>
      <c r="H865" s="238">
        <v>0</v>
      </c>
      <c r="J865" s="228">
        <v>0</v>
      </c>
      <c r="L865">
        <v>551</v>
      </c>
      <c r="M865">
        <v>43.12</v>
      </c>
    </row>
    <row r="866" spans="1:13">
      <c r="A866" s="216">
        <v>3591</v>
      </c>
      <c r="C866">
        <v>-22</v>
      </c>
      <c r="H866" s="238">
        <v>0</v>
      </c>
      <c r="J866" s="228">
        <v>0</v>
      </c>
      <c r="L866">
        <v>551</v>
      </c>
      <c r="M866">
        <v>43.05</v>
      </c>
    </row>
    <row r="867" spans="1:13">
      <c r="A867" s="216">
        <v>3593</v>
      </c>
      <c r="H867" s="238">
        <v>0</v>
      </c>
      <c r="J867" s="228">
        <v>0</v>
      </c>
      <c r="L867">
        <v>551</v>
      </c>
      <c r="M867">
        <v>42.99</v>
      </c>
    </row>
    <row r="868" spans="1:13">
      <c r="A868" s="216">
        <v>3596</v>
      </c>
      <c r="C868">
        <v>155</v>
      </c>
      <c r="D868">
        <v>5240</v>
      </c>
      <c r="E868">
        <v>1783</v>
      </c>
      <c r="F868">
        <v>7841</v>
      </c>
      <c r="G868">
        <v>0</v>
      </c>
      <c r="H868" s="238">
        <v>0</v>
      </c>
      <c r="J868" s="228">
        <v>0</v>
      </c>
      <c r="L868">
        <v>551</v>
      </c>
      <c r="M868">
        <v>42.92</v>
      </c>
    </row>
    <row r="869" spans="1:13">
      <c r="A869" s="216">
        <v>3605</v>
      </c>
      <c r="H869" s="238">
        <v>0</v>
      </c>
      <c r="J869" s="228">
        <v>0</v>
      </c>
      <c r="L869">
        <v>551</v>
      </c>
      <c r="M869">
        <v>42.86</v>
      </c>
    </row>
    <row r="870" spans="1:13">
      <c r="A870" s="216">
        <v>3617</v>
      </c>
      <c r="H870" s="238">
        <v>0</v>
      </c>
      <c r="J870" s="228">
        <v>0</v>
      </c>
      <c r="L870">
        <v>551</v>
      </c>
      <c r="M870">
        <v>42.79</v>
      </c>
    </row>
    <row r="871" spans="1:13">
      <c r="A871" s="216">
        <v>3622</v>
      </c>
      <c r="H871" s="238">
        <v>0</v>
      </c>
      <c r="J871" s="228">
        <v>0</v>
      </c>
      <c r="L871">
        <v>551</v>
      </c>
      <c r="M871">
        <v>42.73</v>
      </c>
    </row>
    <row r="872" spans="1:13">
      <c r="A872" s="216">
        <v>3653</v>
      </c>
      <c r="C872">
        <v>32</v>
      </c>
      <c r="D872">
        <v>2479</v>
      </c>
      <c r="E872">
        <v>1817</v>
      </c>
      <c r="F872">
        <v>4392</v>
      </c>
      <c r="G872">
        <v>0</v>
      </c>
      <c r="H872" s="238">
        <v>0</v>
      </c>
      <c r="J872" s="228">
        <v>0</v>
      </c>
      <c r="L872">
        <v>551</v>
      </c>
      <c r="M872">
        <v>42.66</v>
      </c>
    </row>
    <row r="873" spans="1:13">
      <c r="A873" s="216">
        <v>3669</v>
      </c>
      <c r="C873">
        <v>11</v>
      </c>
      <c r="D873">
        <v>904</v>
      </c>
      <c r="E873">
        <v>1373</v>
      </c>
      <c r="F873">
        <v>2383</v>
      </c>
      <c r="G873">
        <v>0</v>
      </c>
      <c r="H873" s="238">
        <v>0</v>
      </c>
      <c r="J873" s="228">
        <v>0</v>
      </c>
      <c r="L873">
        <v>551</v>
      </c>
      <c r="M873">
        <v>42.59</v>
      </c>
    </row>
    <row r="874" spans="1:13">
      <c r="A874" s="216">
        <v>3673</v>
      </c>
      <c r="C874">
        <v>-17368</v>
      </c>
      <c r="H874" s="238">
        <v>0</v>
      </c>
      <c r="J874" s="228">
        <v>0</v>
      </c>
      <c r="L874">
        <v>551</v>
      </c>
      <c r="M874">
        <v>42.53</v>
      </c>
    </row>
    <row r="875" spans="1:13">
      <c r="A875" s="216">
        <v>3682</v>
      </c>
      <c r="C875">
        <v>-1142</v>
      </c>
      <c r="H875" s="238">
        <v>0</v>
      </c>
      <c r="J875" s="228">
        <v>0</v>
      </c>
      <c r="L875">
        <v>551</v>
      </c>
      <c r="M875">
        <v>42.46</v>
      </c>
    </row>
    <row r="876" spans="1:13">
      <c r="A876" s="216">
        <v>3686</v>
      </c>
      <c r="C876">
        <v>-115</v>
      </c>
      <c r="H876" s="238">
        <v>0</v>
      </c>
      <c r="J876" s="228">
        <v>0</v>
      </c>
      <c r="L876">
        <v>551</v>
      </c>
      <c r="M876">
        <v>42.4</v>
      </c>
    </row>
    <row r="877" spans="1:13">
      <c r="A877" s="216">
        <v>3698</v>
      </c>
      <c r="C877">
        <v>-69</v>
      </c>
      <c r="H877" s="238">
        <v>0</v>
      </c>
      <c r="J877" s="228">
        <v>0</v>
      </c>
      <c r="L877">
        <v>551</v>
      </c>
      <c r="M877">
        <v>42.33</v>
      </c>
    </row>
    <row r="878" spans="1:13">
      <c r="A878" s="216">
        <v>3701</v>
      </c>
      <c r="C878">
        <v>-82</v>
      </c>
      <c r="H878" s="238">
        <v>0</v>
      </c>
      <c r="J878" s="228">
        <v>0</v>
      </c>
      <c r="L878">
        <v>551</v>
      </c>
      <c r="M878">
        <v>42.26</v>
      </c>
    </row>
    <row r="879" spans="1:13">
      <c r="A879" s="216">
        <v>3703</v>
      </c>
      <c r="H879" s="238">
        <v>0</v>
      </c>
      <c r="J879" s="228">
        <v>0</v>
      </c>
      <c r="L879">
        <v>551</v>
      </c>
      <c r="M879">
        <v>42.2</v>
      </c>
    </row>
    <row r="880" spans="1:13">
      <c r="A880" s="216">
        <v>3704</v>
      </c>
      <c r="C880">
        <v>-3</v>
      </c>
      <c r="H880" s="238">
        <v>0</v>
      </c>
      <c r="J880" s="228">
        <v>0</v>
      </c>
      <c r="L880">
        <v>551</v>
      </c>
      <c r="M880">
        <v>42.13</v>
      </c>
    </row>
    <row r="881" spans="1:13">
      <c r="A881" s="216">
        <v>4108</v>
      </c>
      <c r="C881">
        <v>-59</v>
      </c>
      <c r="H881" s="238">
        <v>0</v>
      </c>
      <c r="J881" s="228">
        <v>0</v>
      </c>
      <c r="L881">
        <v>551</v>
      </c>
      <c r="M881">
        <v>42.07</v>
      </c>
    </row>
    <row r="882" spans="1:13">
      <c r="A882" s="216">
        <v>4133</v>
      </c>
      <c r="C882">
        <v>2</v>
      </c>
      <c r="D882">
        <v>879</v>
      </c>
      <c r="E882">
        <v>174</v>
      </c>
      <c r="F882">
        <v>1157</v>
      </c>
      <c r="G882">
        <v>0</v>
      </c>
      <c r="H882" s="238">
        <v>0</v>
      </c>
      <c r="J882" s="228">
        <v>0</v>
      </c>
      <c r="L882">
        <v>551</v>
      </c>
      <c r="M882">
        <v>42</v>
      </c>
    </row>
    <row r="883" spans="1:13">
      <c r="A883" s="216">
        <v>4137</v>
      </c>
      <c r="C883">
        <v>356</v>
      </c>
      <c r="D883">
        <v>2183</v>
      </c>
      <c r="E883">
        <v>1121</v>
      </c>
      <c r="F883">
        <v>3573</v>
      </c>
      <c r="G883">
        <v>0</v>
      </c>
      <c r="H883" s="238">
        <v>0</v>
      </c>
      <c r="J883" s="228">
        <v>0</v>
      </c>
      <c r="L883">
        <v>551</v>
      </c>
      <c r="M883">
        <v>41.94</v>
      </c>
    </row>
    <row r="884" spans="1:13">
      <c r="A884" s="216">
        <v>4141</v>
      </c>
      <c r="H884" s="238">
        <v>0</v>
      </c>
      <c r="J884" s="228">
        <v>0</v>
      </c>
      <c r="L884">
        <v>551</v>
      </c>
      <c r="M884">
        <v>41.87</v>
      </c>
    </row>
    <row r="885" spans="1:13">
      <c r="A885" s="216">
        <v>4142</v>
      </c>
      <c r="H885" s="238">
        <v>0</v>
      </c>
      <c r="J885" s="228">
        <v>0</v>
      </c>
      <c r="L885">
        <v>551</v>
      </c>
      <c r="M885">
        <v>41.8</v>
      </c>
    </row>
    <row r="886" spans="1:13">
      <c r="A886" s="216">
        <v>4190</v>
      </c>
      <c r="C886">
        <v>101</v>
      </c>
      <c r="D886">
        <v>0</v>
      </c>
      <c r="E886">
        <v>991</v>
      </c>
      <c r="F886">
        <v>991</v>
      </c>
      <c r="G886">
        <v>0</v>
      </c>
      <c r="H886" s="238">
        <v>0</v>
      </c>
      <c r="J886" s="228">
        <v>0</v>
      </c>
      <c r="L886">
        <v>551</v>
      </c>
      <c r="M886">
        <v>41.74</v>
      </c>
    </row>
    <row r="887" spans="1:13">
      <c r="A887" s="216">
        <v>4306</v>
      </c>
      <c r="H887" s="238">
        <v>0</v>
      </c>
      <c r="J887" s="228">
        <v>0</v>
      </c>
      <c r="L887">
        <v>551</v>
      </c>
      <c r="M887">
        <v>41.67</v>
      </c>
    </row>
    <row r="888" spans="1:13">
      <c r="A888" s="216">
        <v>4414</v>
      </c>
      <c r="H888" s="238">
        <v>0</v>
      </c>
      <c r="J888" s="228">
        <v>0</v>
      </c>
      <c r="L888">
        <v>551</v>
      </c>
      <c r="M888">
        <v>41.61</v>
      </c>
    </row>
    <row r="889" spans="1:13">
      <c r="A889" s="216">
        <v>4551</v>
      </c>
      <c r="H889" s="238">
        <v>0</v>
      </c>
      <c r="J889" s="228">
        <v>0</v>
      </c>
      <c r="L889">
        <v>551</v>
      </c>
      <c r="M889">
        <v>41.54</v>
      </c>
    </row>
    <row r="890" spans="1:13">
      <c r="A890" s="216">
        <v>4557</v>
      </c>
      <c r="H890" s="238">
        <v>0</v>
      </c>
      <c r="J890" s="228">
        <v>0</v>
      </c>
      <c r="L890">
        <v>551</v>
      </c>
      <c r="M890">
        <v>41.47</v>
      </c>
    </row>
    <row r="891" spans="1:13">
      <c r="A891" s="216">
        <v>4720</v>
      </c>
      <c r="H891" s="238">
        <v>0</v>
      </c>
      <c r="J891" s="228">
        <v>0</v>
      </c>
      <c r="L891">
        <v>551</v>
      </c>
      <c r="M891">
        <v>41.41</v>
      </c>
    </row>
    <row r="892" spans="1:13">
      <c r="A892" s="216">
        <v>4725</v>
      </c>
      <c r="H892" s="238">
        <v>0</v>
      </c>
      <c r="J892" s="228">
        <v>0</v>
      </c>
      <c r="L892">
        <v>551</v>
      </c>
      <c r="M892">
        <v>41.34</v>
      </c>
    </row>
    <row r="893" spans="1:13">
      <c r="A893" s="216">
        <v>4755</v>
      </c>
      <c r="H893" s="238">
        <v>0</v>
      </c>
      <c r="J893" s="228">
        <v>0</v>
      </c>
      <c r="L893">
        <v>551</v>
      </c>
      <c r="M893">
        <v>41.28</v>
      </c>
    </row>
    <row r="894" spans="1:13">
      <c r="A894" s="216">
        <v>4906</v>
      </c>
      <c r="C894">
        <v>16</v>
      </c>
      <c r="D894">
        <v>2329</v>
      </c>
      <c r="E894">
        <v>3675</v>
      </c>
      <c r="F894">
        <v>8555</v>
      </c>
      <c r="G894">
        <v>3474</v>
      </c>
      <c r="H894" s="238">
        <v>0</v>
      </c>
      <c r="J894" s="228">
        <v>0</v>
      </c>
      <c r="L894">
        <v>551</v>
      </c>
      <c r="M894">
        <v>41.21</v>
      </c>
    </row>
    <row r="895" spans="1:13">
      <c r="A895" s="216">
        <v>4919</v>
      </c>
      <c r="C895">
        <v>151</v>
      </c>
      <c r="D895">
        <v>2299</v>
      </c>
      <c r="E895">
        <v>447</v>
      </c>
      <c r="F895">
        <v>3098</v>
      </c>
      <c r="G895">
        <v>0</v>
      </c>
      <c r="H895" s="238">
        <v>0</v>
      </c>
      <c r="J895" s="228">
        <v>0</v>
      </c>
      <c r="L895">
        <v>551</v>
      </c>
      <c r="M895">
        <v>41.15</v>
      </c>
    </row>
    <row r="896" spans="1:13">
      <c r="A896" s="216">
        <v>4930</v>
      </c>
      <c r="H896" s="238">
        <v>0</v>
      </c>
      <c r="J896" s="228">
        <v>0</v>
      </c>
      <c r="L896">
        <v>551</v>
      </c>
      <c r="M896">
        <v>41.08</v>
      </c>
    </row>
    <row r="897" spans="1:13">
      <c r="A897" s="216">
        <v>4934</v>
      </c>
      <c r="H897" s="238">
        <v>0</v>
      </c>
      <c r="J897" s="228">
        <v>0</v>
      </c>
      <c r="L897">
        <v>551</v>
      </c>
      <c r="M897">
        <v>41.01</v>
      </c>
    </row>
    <row r="898" spans="1:13">
      <c r="A898" s="216">
        <v>4942</v>
      </c>
      <c r="H898" s="238">
        <v>0</v>
      </c>
      <c r="J898" s="228">
        <v>0</v>
      </c>
      <c r="L898">
        <v>551</v>
      </c>
      <c r="M898">
        <v>40.950000000000003</v>
      </c>
    </row>
    <row r="899" spans="1:13">
      <c r="A899" s="216">
        <v>4956</v>
      </c>
      <c r="C899">
        <v>3</v>
      </c>
      <c r="D899">
        <v>919</v>
      </c>
      <c r="E899">
        <v>1091</v>
      </c>
      <c r="F899">
        <v>2058</v>
      </c>
      <c r="G899">
        <v>562</v>
      </c>
      <c r="H899" s="238">
        <v>0</v>
      </c>
      <c r="J899" s="228">
        <v>0</v>
      </c>
      <c r="L899">
        <v>551</v>
      </c>
      <c r="M899">
        <v>40.880000000000003</v>
      </c>
    </row>
    <row r="900" spans="1:13">
      <c r="A900" s="216">
        <v>4960</v>
      </c>
      <c r="H900" s="238">
        <v>0</v>
      </c>
      <c r="J900" s="228">
        <v>0</v>
      </c>
      <c r="L900">
        <v>551</v>
      </c>
      <c r="M900">
        <v>40.82</v>
      </c>
    </row>
    <row r="901" spans="1:13">
      <c r="A901" s="216">
        <v>4976</v>
      </c>
      <c r="C901">
        <v>-12</v>
      </c>
      <c r="H901" s="238">
        <v>0</v>
      </c>
      <c r="J901" s="228">
        <v>0</v>
      </c>
      <c r="L901">
        <v>551</v>
      </c>
      <c r="M901">
        <v>40.75</v>
      </c>
    </row>
    <row r="902" spans="1:13">
      <c r="A902" s="216">
        <v>4977</v>
      </c>
      <c r="C902">
        <v>60</v>
      </c>
      <c r="D902">
        <v>1131</v>
      </c>
      <c r="E902">
        <v>209</v>
      </c>
      <c r="F902">
        <v>1370</v>
      </c>
      <c r="G902">
        <v>0</v>
      </c>
      <c r="H902" s="238">
        <v>0</v>
      </c>
      <c r="J902" s="228">
        <v>0</v>
      </c>
      <c r="L902">
        <v>551</v>
      </c>
      <c r="M902">
        <v>40.68</v>
      </c>
    </row>
    <row r="903" spans="1:13">
      <c r="A903" s="216">
        <v>4984</v>
      </c>
      <c r="C903">
        <v>63</v>
      </c>
      <c r="D903">
        <v>1566</v>
      </c>
      <c r="E903">
        <v>44</v>
      </c>
      <c r="F903">
        <v>1686</v>
      </c>
      <c r="G903">
        <v>0</v>
      </c>
      <c r="H903" s="238">
        <v>0</v>
      </c>
      <c r="J903" s="228">
        <v>0</v>
      </c>
      <c r="L903">
        <v>551</v>
      </c>
      <c r="M903">
        <v>40.619999999999997</v>
      </c>
    </row>
    <row r="904" spans="1:13">
      <c r="A904" s="216">
        <v>4994</v>
      </c>
      <c r="C904">
        <v>56</v>
      </c>
      <c r="D904">
        <v>1595</v>
      </c>
      <c r="E904">
        <v>65</v>
      </c>
      <c r="F904">
        <v>1708</v>
      </c>
      <c r="G904">
        <v>0</v>
      </c>
      <c r="H904" s="238">
        <v>0</v>
      </c>
      <c r="J904" s="228">
        <v>0</v>
      </c>
      <c r="L904">
        <v>551</v>
      </c>
      <c r="M904">
        <v>40.549999999999997</v>
      </c>
    </row>
    <row r="905" spans="1:13">
      <c r="A905" s="216">
        <v>5203</v>
      </c>
      <c r="C905">
        <v>132</v>
      </c>
      <c r="D905">
        <v>2696</v>
      </c>
      <c r="E905">
        <v>466</v>
      </c>
      <c r="F905">
        <v>4441</v>
      </c>
      <c r="G905">
        <v>0</v>
      </c>
      <c r="H905" s="238">
        <v>0</v>
      </c>
      <c r="J905" s="228">
        <v>0</v>
      </c>
      <c r="L905">
        <v>551</v>
      </c>
      <c r="M905">
        <v>40.49</v>
      </c>
    </row>
    <row r="906" spans="1:13">
      <c r="A906" s="216">
        <v>5243</v>
      </c>
      <c r="H906" s="238">
        <v>0</v>
      </c>
      <c r="J906" s="228">
        <v>0</v>
      </c>
      <c r="L906">
        <v>551</v>
      </c>
      <c r="M906">
        <v>40.42</v>
      </c>
    </row>
    <row r="907" spans="1:13">
      <c r="A907" s="216">
        <v>5259</v>
      </c>
      <c r="H907" s="238">
        <v>0</v>
      </c>
      <c r="J907" s="228">
        <v>0</v>
      </c>
      <c r="L907">
        <v>551</v>
      </c>
      <c r="M907">
        <v>40.36</v>
      </c>
    </row>
    <row r="908" spans="1:13">
      <c r="A908" s="216">
        <v>5269</v>
      </c>
      <c r="C908">
        <v>64</v>
      </c>
      <c r="D908">
        <v>1046</v>
      </c>
      <c r="E908">
        <v>110</v>
      </c>
      <c r="F908">
        <v>1258</v>
      </c>
      <c r="G908">
        <v>0</v>
      </c>
      <c r="H908" s="238">
        <v>0</v>
      </c>
      <c r="J908" s="228">
        <v>0</v>
      </c>
      <c r="L908">
        <v>551</v>
      </c>
      <c r="M908">
        <v>40.29</v>
      </c>
    </row>
    <row r="909" spans="1:13">
      <c r="A909" s="216">
        <v>5305</v>
      </c>
      <c r="H909" s="238">
        <v>0</v>
      </c>
      <c r="J909" s="228">
        <v>0</v>
      </c>
      <c r="L909">
        <v>551</v>
      </c>
      <c r="M909">
        <v>40.22</v>
      </c>
    </row>
    <row r="910" spans="1:13">
      <c r="A910" s="216">
        <v>5388</v>
      </c>
      <c r="H910" s="238">
        <v>0</v>
      </c>
      <c r="J910" s="228">
        <v>0</v>
      </c>
      <c r="L910">
        <v>551</v>
      </c>
      <c r="M910">
        <v>40.159999999999997</v>
      </c>
    </row>
    <row r="911" spans="1:13">
      <c r="A911" s="216">
        <v>5471</v>
      </c>
      <c r="C911">
        <v>80</v>
      </c>
      <c r="D911">
        <v>2378</v>
      </c>
      <c r="E911">
        <v>466</v>
      </c>
      <c r="F911">
        <v>3052</v>
      </c>
      <c r="G911">
        <v>0</v>
      </c>
      <c r="H911" s="238">
        <v>0</v>
      </c>
      <c r="J911" s="228">
        <v>0</v>
      </c>
      <c r="L911">
        <v>551</v>
      </c>
      <c r="M911">
        <v>40.090000000000003</v>
      </c>
    </row>
    <row r="912" spans="1:13">
      <c r="A912" s="216">
        <v>5484</v>
      </c>
      <c r="H912" s="238">
        <v>0</v>
      </c>
      <c r="J912" s="228">
        <v>0</v>
      </c>
      <c r="L912">
        <v>551</v>
      </c>
      <c r="M912">
        <v>40.03</v>
      </c>
    </row>
    <row r="913" spans="1:13">
      <c r="A913" s="216">
        <v>5515</v>
      </c>
      <c r="C913">
        <v>3</v>
      </c>
      <c r="D913">
        <v>6023</v>
      </c>
      <c r="E913">
        <v>358</v>
      </c>
      <c r="F913">
        <v>5625</v>
      </c>
      <c r="G913">
        <v>220</v>
      </c>
      <c r="H913" s="238">
        <v>0</v>
      </c>
      <c r="J913" s="228">
        <v>0</v>
      </c>
      <c r="L913">
        <v>551</v>
      </c>
      <c r="M913">
        <v>39.96</v>
      </c>
    </row>
    <row r="914" spans="1:13">
      <c r="A914" s="216">
        <v>5521</v>
      </c>
      <c r="C914">
        <v>-15</v>
      </c>
      <c r="H914" s="238">
        <v>0</v>
      </c>
      <c r="J914" s="228">
        <v>0</v>
      </c>
      <c r="L914">
        <v>551</v>
      </c>
      <c r="M914">
        <v>39.89</v>
      </c>
    </row>
    <row r="915" spans="1:13">
      <c r="A915" s="216">
        <v>5531</v>
      </c>
      <c r="C915">
        <v>-68</v>
      </c>
      <c r="H915" s="238">
        <v>0</v>
      </c>
      <c r="J915" s="228">
        <v>0</v>
      </c>
      <c r="L915">
        <v>551</v>
      </c>
      <c r="M915">
        <v>39.83</v>
      </c>
    </row>
    <row r="916" spans="1:13">
      <c r="A916" s="216">
        <v>5534</v>
      </c>
      <c r="H916" s="238">
        <v>0</v>
      </c>
      <c r="J916" s="228">
        <v>0</v>
      </c>
      <c r="L916">
        <v>551</v>
      </c>
      <c r="M916">
        <v>39.76</v>
      </c>
    </row>
    <row r="917" spans="1:13">
      <c r="A917" s="216">
        <v>5538</v>
      </c>
      <c r="H917" s="238">
        <v>0</v>
      </c>
      <c r="J917" s="228">
        <v>0</v>
      </c>
      <c r="L917">
        <v>551</v>
      </c>
      <c r="M917">
        <v>39.700000000000003</v>
      </c>
    </row>
    <row r="918" spans="1:13">
      <c r="A918" s="216">
        <v>5608</v>
      </c>
      <c r="H918" s="238">
        <v>0</v>
      </c>
      <c r="J918" s="228">
        <v>0</v>
      </c>
      <c r="L918">
        <v>551</v>
      </c>
      <c r="M918">
        <v>39.630000000000003</v>
      </c>
    </row>
    <row r="919" spans="1:13">
      <c r="A919" s="216">
        <v>5706</v>
      </c>
      <c r="C919">
        <v>56</v>
      </c>
      <c r="D919">
        <v>535</v>
      </c>
      <c r="E919">
        <v>291</v>
      </c>
      <c r="F919">
        <v>1193</v>
      </c>
      <c r="G919">
        <v>0</v>
      </c>
      <c r="H919" s="238">
        <v>0</v>
      </c>
      <c r="J919" s="228">
        <v>0</v>
      </c>
      <c r="L919">
        <v>551</v>
      </c>
      <c r="M919">
        <v>39.57</v>
      </c>
    </row>
    <row r="920" spans="1:13">
      <c r="A920" s="216">
        <v>5871</v>
      </c>
      <c r="H920" s="238">
        <v>0</v>
      </c>
      <c r="J920" s="228">
        <v>0</v>
      </c>
      <c r="L920">
        <v>551</v>
      </c>
      <c r="M920">
        <v>39.5</v>
      </c>
    </row>
    <row r="921" spans="1:13">
      <c r="A921" s="216">
        <v>5906</v>
      </c>
      <c r="C921">
        <v>-122</v>
      </c>
      <c r="H921" s="238">
        <v>0</v>
      </c>
      <c r="J921" s="228">
        <v>0</v>
      </c>
      <c r="L921">
        <v>551</v>
      </c>
      <c r="M921">
        <v>39.43</v>
      </c>
    </row>
    <row r="922" spans="1:13">
      <c r="A922" s="216">
        <v>5907</v>
      </c>
      <c r="H922" s="238">
        <v>0</v>
      </c>
      <c r="J922" s="228">
        <v>0</v>
      </c>
      <c r="L922">
        <v>551</v>
      </c>
      <c r="M922">
        <v>39.369999999999997</v>
      </c>
    </row>
    <row r="923" spans="1:13">
      <c r="A923" s="216">
        <v>6115</v>
      </c>
      <c r="H923" s="238">
        <v>0</v>
      </c>
      <c r="J923" s="228">
        <v>0</v>
      </c>
      <c r="L923">
        <v>551</v>
      </c>
      <c r="M923">
        <v>39.299999999999997</v>
      </c>
    </row>
    <row r="924" spans="1:13">
      <c r="A924" s="216">
        <v>6116</v>
      </c>
      <c r="C924">
        <v>-874</v>
      </c>
      <c r="H924" s="238">
        <v>0</v>
      </c>
      <c r="J924" s="228">
        <v>0</v>
      </c>
      <c r="L924">
        <v>551</v>
      </c>
      <c r="M924">
        <v>39.24</v>
      </c>
    </row>
    <row r="925" spans="1:13">
      <c r="A925" s="216">
        <v>6117</v>
      </c>
      <c r="H925" s="238">
        <v>0</v>
      </c>
      <c r="J925" s="228">
        <v>0</v>
      </c>
      <c r="L925">
        <v>551</v>
      </c>
      <c r="M925">
        <v>39.17</v>
      </c>
    </row>
    <row r="926" spans="1:13">
      <c r="A926" s="216">
        <v>6120</v>
      </c>
      <c r="C926">
        <v>-187</v>
      </c>
      <c r="H926" s="238">
        <v>0</v>
      </c>
      <c r="J926" s="228">
        <v>0</v>
      </c>
      <c r="L926">
        <v>551</v>
      </c>
      <c r="M926">
        <v>39.1</v>
      </c>
    </row>
    <row r="927" spans="1:13">
      <c r="A927" s="216">
        <v>6128</v>
      </c>
      <c r="H927" s="238">
        <v>0</v>
      </c>
      <c r="J927" s="228">
        <v>0</v>
      </c>
      <c r="L927">
        <v>551</v>
      </c>
      <c r="M927">
        <v>39.04</v>
      </c>
    </row>
    <row r="928" spans="1:13">
      <c r="A928" s="216">
        <v>6131</v>
      </c>
      <c r="H928" s="238">
        <v>0</v>
      </c>
      <c r="J928" s="228">
        <v>0</v>
      </c>
      <c r="L928">
        <v>551</v>
      </c>
      <c r="M928">
        <v>38.97</v>
      </c>
    </row>
    <row r="929" spans="1:13">
      <c r="A929" s="216">
        <v>6133</v>
      </c>
      <c r="H929" s="238">
        <v>0</v>
      </c>
      <c r="J929" s="228">
        <v>0</v>
      </c>
      <c r="L929">
        <v>551</v>
      </c>
      <c r="M929">
        <v>38.909999999999997</v>
      </c>
    </row>
    <row r="930" spans="1:13">
      <c r="A930" s="216">
        <v>6136</v>
      </c>
      <c r="C930">
        <v>-8</v>
      </c>
      <c r="H930" s="238">
        <v>0</v>
      </c>
      <c r="J930" s="228">
        <v>0</v>
      </c>
      <c r="L930">
        <v>551</v>
      </c>
      <c r="M930">
        <v>38.840000000000003</v>
      </c>
    </row>
    <row r="931" spans="1:13">
      <c r="A931" s="216">
        <v>6141</v>
      </c>
      <c r="C931">
        <v>-76</v>
      </c>
      <c r="H931" s="238">
        <v>0</v>
      </c>
      <c r="J931" s="228">
        <v>0</v>
      </c>
      <c r="L931">
        <v>551</v>
      </c>
      <c r="M931">
        <v>38.78</v>
      </c>
    </row>
    <row r="932" spans="1:13">
      <c r="A932" s="216">
        <v>6142</v>
      </c>
      <c r="C932">
        <v>-19</v>
      </c>
      <c r="H932" s="238">
        <v>0</v>
      </c>
      <c r="J932" s="228">
        <v>0</v>
      </c>
      <c r="L932">
        <v>551</v>
      </c>
      <c r="M932">
        <v>38.71</v>
      </c>
    </row>
    <row r="933" spans="1:13">
      <c r="A933" s="216">
        <v>6145</v>
      </c>
      <c r="C933">
        <v>3</v>
      </c>
      <c r="D933">
        <v>1288</v>
      </c>
      <c r="E933">
        <v>38</v>
      </c>
      <c r="F933">
        <v>4962</v>
      </c>
      <c r="G933">
        <v>457</v>
      </c>
      <c r="H933" s="238">
        <v>0</v>
      </c>
      <c r="J933" s="228">
        <v>0</v>
      </c>
      <c r="L933">
        <v>551</v>
      </c>
      <c r="M933">
        <v>38.64</v>
      </c>
    </row>
    <row r="934" spans="1:13">
      <c r="A934" s="216">
        <v>6152</v>
      </c>
      <c r="C934">
        <v>-165</v>
      </c>
      <c r="H934" s="238">
        <v>0</v>
      </c>
      <c r="J934" s="228">
        <v>0</v>
      </c>
      <c r="L934">
        <v>551</v>
      </c>
      <c r="M934">
        <v>38.58</v>
      </c>
    </row>
    <row r="935" spans="1:13">
      <c r="A935" s="216">
        <v>6155</v>
      </c>
      <c r="H935" s="238">
        <v>0</v>
      </c>
      <c r="J935" s="228">
        <v>0</v>
      </c>
      <c r="L935">
        <v>551</v>
      </c>
      <c r="M935">
        <v>38.51</v>
      </c>
    </row>
    <row r="936" spans="1:13">
      <c r="A936" s="216">
        <v>6164</v>
      </c>
      <c r="H936" s="238">
        <v>0</v>
      </c>
      <c r="J936" s="228">
        <v>0</v>
      </c>
      <c r="L936">
        <v>551</v>
      </c>
      <c r="M936">
        <v>38.450000000000003</v>
      </c>
    </row>
    <row r="937" spans="1:13">
      <c r="A937" s="216">
        <v>6165</v>
      </c>
      <c r="H937" s="238">
        <v>0</v>
      </c>
      <c r="J937" s="228">
        <v>0</v>
      </c>
      <c r="L937">
        <v>551</v>
      </c>
      <c r="M937">
        <v>38.380000000000003</v>
      </c>
    </row>
    <row r="938" spans="1:13">
      <c r="A938" s="216">
        <v>6168</v>
      </c>
      <c r="H938" s="238">
        <v>0</v>
      </c>
      <c r="J938" s="228">
        <v>0</v>
      </c>
      <c r="L938">
        <v>551</v>
      </c>
      <c r="M938">
        <v>38.31</v>
      </c>
    </row>
    <row r="939" spans="1:13">
      <c r="A939" s="216">
        <v>6177</v>
      </c>
      <c r="C939">
        <v>6</v>
      </c>
      <c r="D939">
        <v>3923</v>
      </c>
      <c r="E939">
        <v>141</v>
      </c>
      <c r="F939">
        <v>3276</v>
      </c>
      <c r="G939">
        <v>3547</v>
      </c>
      <c r="H939" s="238">
        <v>0</v>
      </c>
      <c r="J939" s="228">
        <v>0</v>
      </c>
      <c r="L939">
        <v>551</v>
      </c>
      <c r="M939">
        <v>38.25</v>
      </c>
    </row>
    <row r="940" spans="1:13">
      <c r="A940" s="216">
        <v>6189</v>
      </c>
      <c r="H940" s="238">
        <v>0</v>
      </c>
      <c r="J940" s="228">
        <v>0</v>
      </c>
      <c r="L940">
        <v>551</v>
      </c>
      <c r="M940">
        <v>38.18</v>
      </c>
    </row>
    <row r="941" spans="1:13">
      <c r="A941" s="216">
        <v>6191</v>
      </c>
      <c r="C941">
        <v>55</v>
      </c>
      <c r="D941">
        <v>6442</v>
      </c>
      <c r="E941">
        <v>6930</v>
      </c>
      <c r="F941">
        <v>11467</v>
      </c>
      <c r="G941">
        <v>3249</v>
      </c>
      <c r="H941" s="238">
        <v>0</v>
      </c>
      <c r="J941" s="228">
        <v>0</v>
      </c>
      <c r="L941">
        <v>551</v>
      </c>
      <c r="M941">
        <v>38.119999999999997</v>
      </c>
    </row>
    <row r="942" spans="1:13">
      <c r="A942" s="216">
        <v>6197</v>
      </c>
      <c r="C942">
        <v>33</v>
      </c>
      <c r="D942">
        <v>2708</v>
      </c>
      <c r="E942">
        <v>587</v>
      </c>
      <c r="F942">
        <v>3679</v>
      </c>
      <c r="G942">
        <v>0</v>
      </c>
      <c r="H942" s="238">
        <v>0</v>
      </c>
      <c r="J942" s="228">
        <v>0</v>
      </c>
      <c r="L942">
        <v>551</v>
      </c>
      <c r="M942">
        <v>38.049999999999997</v>
      </c>
    </row>
    <row r="943" spans="1:13">
      <c r="A943" s="216">
        <v>6202</v>
      </c>
      <c r="C943">
        <v>217</v>
      </c>
      <c r="D943">
        <v>2797</v>
      </c>
      <c r="E943">
        <v>481</v>
      </c>
      <c r="F943">
        <v>3887</v>
      </c>
      <c r="G943">
        <v>0</v>
      </c>
      <c r="H943" s="238">
        <v>0</v>
      </c>
      <c r="J943" s="228">
        <v>0</v>
      </c>
      <c r="L943">
        <v>551</v>
      </c>
      <c r="M943">
        <v>37.99</v>
      </c>
    </row>
    <row r="944" spans="1:13">
      <c r="A944" s="216">
        <v>6205</v>
      </c>
      <c r="C944">
        <v>38</v>
      </c>
      <c r="D944">
        <v>1111</v>
      </c>
      <c r="E944">
        <v>289</v>
      </c>
      <c r="F944">
        <v>1679</v>
      </c>
      <c r="G944">
        <v>0</v>
      </c>
      <c r="H944" s="238">
        <v>0</v>
      </c>
      <c r="J944" s="228">
        <v>0</v>
      </c>
      <c r="L944">
        <v>551</v>
      </c>
      <c r="M944">
        <v>37.92</v>
      </c>
    </row>
    <row r="945" spans="1:13">
      <c r="A945" s="216">
        <v>6206</v>
      </c>
      <c r="C945">
        <v>281</v>
      </c>
      <c r="D945">
        <v>3407</v>
      </c>
      <c r="E945">
        <v>1137</v>
      </c>
      <c r="F945">
        <v>4773</v>
      </c>
      <c r="G945">
        <v>0</v>
      </c>
      <c r="H945" s="238">
        <v>0</v>
      </c>
      <c r="J945" s="228">
        <v>0</v>
      </c>
      <c r="L945">
        <v>551</v>
      </c>
      <c r="M945">
        <v>37.85</v>
      </c>
    </row>
    <row r="946" spans="1:13">
      <c r="A946" s="216">
        <v>6209</v>
      </c>
      <c r="C946">
        <v>-3</v>
      </c>
      <c r="H946" s="238">
        <v>0</v>
      </c>
      <c r="J946" s="228">
        <v>0</v>
      </c>
      <c r="L946">
        <v>551</v>
      </c>
      <c r="M946">
        <v>37.79</v>
      </c>
    </row>
    <row r="947" spans="1:13">
      <c r="A947" s="216">
        <v>6215</v>
      </c>
      <c r="H947" s="238">
        <v>0</v>
      </c>
      <c r="J947" s="228">
        <v>0</v>
      </c>
      <c r="L947">
        <v>551</v>
      </c>
      <c r="M947">
        <v>37.72</v>
      </c>
    </row>
    <row r="948" spans="1:13">
      <c r="A948" s="216">
        <v>6224</v>
      </c>
      <c r="H948" s="238">
        <v>0</v>
      </c>
      <c r="J948" s="228">
        <v>0</v>
      </c>
      <c r="L948">
        <v>551</v>
      </c>
      <c r="M948">
        <v>37.659999999999997</v>
      </c>
    </row>
    <row r="949" spans="1:13">
      <c r="A949" s="216">
        <v>6225</v>
      </c>
      <c r="H949" s="238">
        <v>0</v>
      </c>
      <c r="J949" s="228">
        <v>0</v>
      </c>
      <c r="L949">
        <v>551</v>
      </c>
      <c r="M949">
        <v>37.590000000000003</v>
      </c>
    </row>
    <row r="950" spans="1:13">
      <c r="A950" s="216">
        <v>6235</v>
      </c>
      <c r="C950">
        <v>-19</v>
      </c>
      <c r="H950" s="238">
        <v>0</v>
      </c>
      <c r="J950" s="228">
        <v>0</v>
      </c>
      <c r="L950">
        <v>551</v>
      </c>
      <c r="M950">
        <v>37.520000000000003</v>
      </c>
    </row>
    <row r="951" spans="1:13">
      <c r="A951" s="216">
        <v>6243</v>
      </c>
      <c r="C951">
        <v>-27</v>
      </c>
      <c r="H951" s="238">
        <v>0</v>
      </c>
      <c r="J951" s="228">
        <v>0</v>
      </c>
      <c r="L951">
        <v>551</v>
      </c>
      <c r="M951">
        <v>37.46</v>
      </c>
    </row>
    <row r="952" spans="1:13">
      <c r="A952" s="216">
        <v>6251</v>
      </c>
      <c r="C952">
        <v>19</v>
      </c>
      <c r="D952">
        <v>374</v>
      </c>
      <c r="E952">
        <v>4771</v>
      </c>
      <c r="F952">
        <v>4682</v>
      </c>
      <c r="G952">
        <v>2700</v>
      </c>
      <c r="H952" s="238">
        <v>0</v>
      </c>
      <c r="J952" s="228">
        <v>0</v>
      </c>
      <c r="L952">
        <v>551</v>
      </c>
      <c r="M952">
        <v>37.39</v>
      </c>
    </row>
    <row r="953" spans="1:13">
      <c r="A953" s="216">
        <v>6277</v>
      </c>
      <c r="H953" s="238">
        <v>0</v>
      </c>
      <c r="J953" s="228">
        <v>0</v>
      </c>
      <c r="L953">
        <v>551</v>
      </c>
      <c r="M953">
        <v>37.33</v>
      </c>
    </row>
    <row r="954" spans="1:13">
      <c r="A954" s="216">
        <v>6281</v>
      </c>
      <c r="C954">
        <v>100</v>
      </c>
      <c r="D954">
        <v>1794</v>
      </c>
      <c r="E954">
        <v>299</v>
      </c>
      <c r="F954">
        <v>2215</v>
      </c>
      <c r="G954">
        <v>0</v>
      </c>
      <c r="H954" s="238">
        <v>0</v>
      </c>
      <c r="J954" s="228">
        <v>0</v>
      </c>
      <c r="L954">
        <v>551</v>
      </c>
      <c r="M954">
        <v>37.26</v>
      </c>
    </row>
    <row r="955" spans="1:13">
      <c r="A955" s="216">
        <v>6283</v>
      </c>
      <c r="C955">
        <v>-15</v>
      </c>
      <c r="H955" s="238">
        <v>0</v>
      </c>
      <c r="J955" s="228">
        <v>0</v>
      </c>
      <c r="L955">
        <v>551</v>
      </c>
      <c r="M955">
        <v>37.200000000000003</v>
      </c>
    </row>
    <row r="956" spans="1:13">
      <c r="A956" s="216">
        <v>6289</v>
      </c>
      <c r="H956" s="238">
        <v>0</v>
      </c>
      <c r="J956" s="228">
        <v>0</v>
      </c>
      <c r="L956">
        <v>551</v>
      </c>
      <c r="M956">
        <v>37.130000000000003</v>
      </c>
    </row>
    <row r="957" spans="1:13">
      <c r="A957" s="216">
        <v>6409</v>
      </c>
      <c r="C957">
        <v>462</v>
      </c>
      <c r="D957">
        <v>2769</v>
      </c>
      <c r="E957">
        <v>905</v>
      </c>
      <c r="F957">
        <v>3759</v>
      </c>
      <c r="G957">
        <v>0</v>
      </c>
      <c r="H957" s="238">
        <v>0</v>
      </c>
      <c r="J957" s="228">
        <v>0</v>
      </c>
      <c r="L957">
        <v>551</v>
      </c>
      <c r="M957">
        <v>37.06</v>
      </c>
    </row>
    <row r="958" spans="1:13">
      <c r="A958" s="216">
        <v>6412</v>
      </c>
      <c r="H958" s="238">
        <v>0</v>
      </c>
      <c r="J958" s="228">
        <v>0</v>
      </c>
      <c r="L958">
        <v>551</v>
      </c>
      <c r="M958">
        <v>37</v>
      </c>
    </row>
    <row r="959" spans="1:13">
      <c r="A959" s="216">
        <v>6414</v>
      </c>
      <c r="C959">
        <v>298</v>
      </c>
      <c r="D959">
        <v>2940</v>
      </c>
      <c r="E959">
        <v>596</v>
      </c>
      <c r="F959">
        <v>3890</v>
      </c>
      <c r="G959">
        <v>0</v>
      </c>
      <c r="H959" s="238">
        <v>0</v>
      </c>
      <c r="J959" s="228">
        <v>0</v>
      </c>
      <c r="L959">
        <v>551</v>
      </c>
      <c r="M959">
        <v>36.93</v>
      </c>
    </row>
    <row r="960" spans="1:13">
      <c r="A960" s="216">
        <v>6415</v>
      </c>
      <c r="C960">
        <v>247</v>
      </c>
      <c r="D960">
        <v>3240</v>
      </c>
      <c r="E960">
        <v>97</v>
      </c>
      <c r="F960">
        <v>4172</v>
      </c>
      <c r="G960">
        <v>0</v>
      </c>
      <c r="H960" s="238">
        <v>0</v>
      </c>
      <c r="J960" s="228">
        <v>0</v>
      </c>
      <c r="L960">
        <v>551</v>
      </c>
      <c r="M960">
        <v>36.869999999999997</v>
      </c>
    </row>
    <row r="961" spans="1:13">
      <c r="A961" s="216">
        <v>6422</v>
      </c>
      <c r="H961" s="238">
        <v>0</v>
      </c>
      <c r="J961" s="228">
        <v>0</v>
      </c>
      <c r="L961">
        <v>551</v>
      </c>
      <c r="M961">
        <v>36.799999999999997</v>
      </c>
    </row>
    <row r="962" spans="1:13">
      <c r="A962" s="216">
        <v>6431</v>
      </c>
      <c r="H962" s="238">
        <v>0</v>
      </c>
      <c r="J962" s="228">
        <v>0</v>
      </c>
      <c r="L962">
        <v>551</v>
      </c>
      <c r="M962">
        <v>36.729999999999997</v>
      </c>
    </row>
    <row r="963" spans="1:13">
      <c r="A963" s="216">
        <v>6442</v>
      </c>
      <c r="C963">
        <v>75</v>
      </c>
      <c r="D963">
        <v>1599</v>
      </c>
      <c r="E963">
        <v>462</v>
      </c>
      <c r="F963">
        <v>2205</v>
      </c>
      <c r="G963">
        <v>0</v>
      </c>
      <c r="H963" s="238">
        <v>0</v>
      </c>
      <c r="J963" s="228">
        <v>0</v>
      </c>
      <c r="L963">
        <v>551</v>
      </c>
      <c r="M963">
        <v>36.67</v>
      </c>
    </row>
    <row r="964" spans="1:13">
      <c r="A964" s="216">
        <v>6452</v>
      </c>
      <c r="C964">
        <v>306</v>
      </c>
      <c r="D964">
        <v>2948</v>
      </c>
      <c r="E964">
        <v>1696</v>
      </c>
      <c r="F964">
        <v>5038</v>
      </c>
      <c r="G964">
        <v>0</v>
      </c>
      <c r="H964" s="238">
        <v>0</v>
      </c>
      <c r="J964" s="228">
        <v>0</v>
      </c>
      <c r="L964">
        <v>551</v>
      </c>
      <c r="M964">
        <v>36.6</v>
      </c>
    </row>
    <row r="965" spans="1:13">
      <c r="A965" s="216">
        <v>6702</v>
      </c>
      <c r="C965">
        <v>-665</v>
      </c>
      <c r="H965" s="238">
        <v>0</v>
      </c>
      <c r="J965" s="228">
        <v>0</v>
      </c>
      <c r="L965">
        <v>551</v>
      </c>
      <c r="M965">
        <v>36.54</v>
      </c>
    </row>
    <row r="966" spans="1:13">
      <c r="A966" s="216">
        <v>8011</v>
      </c>
      <c r="C966">
        <v>-71</v>
      </c>
      <c r="H966" s="238">
        <v>0</v>
      </c>
      <c r="J966" s="228">
        <v>0</v>
      </c>
      <c r="L966">
        <v>551</v>
      </c>
      <c r="M966">
        <v>36.47</v>
      </c>
    </row>
    <row r="967" spans="1:13">
      <c r="A967" s="216">
        <v>8033</v>
      </c>
      <c r="C967">
        <v>-39</v>
      </c>
      <c r="H967" s="238">
        <v>0</v>
      </c>
      <c r="J967" s="228">
        <v>0</v>
      </c>
      <c r="L967">
        <v>551</v>
      </c>
      <c r="M967">
        <v>36.409999999999997</v>
      </c>
    </row>
    <row r="968" spans="1:13">
      <c r="A968" s="216">
        <v>8046</v>
      </c>
      <c r="C968">
        <v>-462</v>
      </c>
      <c r="H968" s="238">
        <v>0</v>
      </c>
      <c r="J968" s="228">
        <v>0</v>
      </c>
      <c r="L968">
        <v>551</v>
      </c>
      <c r="M968">
        <v>36.340000000000003</v>
      </c>
    </row>
    <row r="969" spans="1:13">
      <c r="A969" s="216">
        <v>8072</v>
      </c>
      <c r="H969" s="238">
        <v>0</v>
      </c>
      <c r="J969" s="228">
        <v>0</v>
      </c>
      <c r="L969">
        <v>551</v>
      </c>
      <c r="M969">
        <v>36.270000000000003</v>
      </c>
    </row>
    <row r="970" spans="1:13">
      <c r="A970" s="216">
        <v>8101</v>
      </c>
      <c r="H970" s="238">
        <v>0</v>
      </c>
      <c r="J970" s="228">
        <v>0</v>
      </c>
      <c r="L970">
        <v>551</v>
      </c>
      <c r="M970">
        <v>36.21</v>
      </c>
    </row>
    <row r="971" spans="1:13">
      <c r="A971" s="216">
        <v>8103</v>
      </c>
      <c r="C971">
        <v>-89</v>
      </c>
      <c r="H971" s="238">
        <v>0</v>
      </c>
      <c r="J971" s="228">
        <v>0</v>
      </c>
      <c r="L971">
        <v>551</v>
      </c>
      <c r="M971">
        <v>36.14</v>
      </c>
    </row>
    <row r="972" spans="1:13">
      <c r="A972" s="216">
        <v>8110</v>
      </c>
      <c r="C972">
        <v>34</v>
      </c>
      <c r="D972">
        <v>1768</v>
      </c>
      <c r="E972">
        <v>10559</v>
      </c>
      <c r="F972">
        <v>7599</v>
      </c>
      <c r="G972">
        <v>1081</v>
      </c>
      <c r="H972" s="238">
        <v>0</v>
      </c>
      <c r="J972" s="228">
        <v>0</v>
      </c>
      <c r="L972">
        <v>551</v>
      </c>
      <c r="M972">
        <v>36.08</v>
      </c>
    </row>
    <row r="973" spans="1:13">
      <c r="A973" s="216">
        <v>8112</v>
      </c>
      <c r="H973" s="238">
        <v>0</v>
      </c>
      <c r="J973" s="228">
        <v>0</v>
      </c>
      <c r="L973">
        <v>551</v>
      </c>
      <c r="M973">
        <v>36.01</v>
      </c>
    </row>
    <row r="974" spans="1:13">
      <c r="A974" s="216">
        <v>8131</v>
      </c>
      <c r="C974">
        <v>301</v>
      </c>
      <c r="D974">
        <v>5918</v>
      </c>
      <c r="E974">
        <v>3245</v>
      </c>
      <c r="F974">
        <v>9433</v>
      </c>
      <c r="G974">
        <v>0</v>
      </c>
      <c r="H974" s="238">
        <v>0</v>
      </c>
      <c r="J974" s="228">
        <v>0</v>
      </c>
      <c r="L974">
        <v>551</v>
      </c>
      <c r="M974">
        <v>35.94</v>
      </c>
    </row>
    <row r="975" spans="1:13">
      <c r="A975" s="216">
        <v>8150</v>
      </c>
      <c r="H975" s="238">
        <v>0</v>
      </c>
      <c r="J975" s="228">
        <v>0</v>
      </c>
      <c r="L975">
        <v>551</v>
      </c>
      <c r="M975">
        <v>35.880000000000003</v>
      </c>
    </row>
    <row r="976" spans="1:13">
      <c r="A976" s="216">
        <v>8163</v>
      </c>
      <c r="H976" s="238">
        <v>0</v>
      </c>
      <c r="J976" s="228">
        <v>0</v>
      </c>
      <c r="L976">
        <v>551</v>
      </c>
      <c r="M976">
        <v>35.81</v>
      </c>
    </row>
    <row r="977" spans="1:13">
      <c r="A977" s="216">
        <v>8201</v>
      </c>
      <c r="H977" s="238">
        <v>0</v>
      </c>
      <c r="J977" s="228">
        <v>0</v>
      </c>
      <c r="L977">
        <v>551</v>
      </c>
      <c r="M977">
        <v>35.75</v>
      </c>
    </row>
    <row r="978" spans="1:13">
      <c r="A978" s="216">
        <v>8215</v>
      </c>
      <c r="H978" s="238">
        <v>0</v>
      </c>
      <c r="J978" s="228">
        <v>0</v>
      </c>
      <c r="L978">
        <v>551</v>
      </c>
      <c r="M978">
        <v>35.68</v>
      </c>
    </row>
    <row r="979" spans="1:13">
      <c r="A979" s="216">
        <v>8249</v>
      </c>
      <c r="H979" s="238">
        <v>0</v>
      </c>
      <c r="J979" s="228">
        <v>0</v>
      </c>
      <c r="L979">
        <v>551</v>
      </c>
      <c r="M979">
        <v>35.619999999999997</v>
      </c>
    </row>
    <row r="980" spans="1:13">
      <c r="A980" s="216">
        <v>8261</v>
      </c>
      <c r="C980">
        <v>23</v>
      </c>
      <c r="D980">
        <v>904</v>
      </c>
      <c r="E980">
        <v>275</v>
      </c>
      <c r="F980">
        <v>1328</v>
      </c>
      <c r="G980">
        <v>0</v>
      </c>
      <c r="H980" s="238">
        <v>0</v>
      </c>
      <c r="J980" s="228">
        <v>0</v>
      </c>
      <c r="L980">
        <v>551</v>
      </c>
      <c r="M980">
        <v>35.549999999999997</v>
      </c>
    </row>
    <row r="981" spans="1:13">
      <c r="A981" s="216">
        <v>8341</v>
      </c>
      <c r="H981" s="238">
        <v>0</v>
      </c>
      <c r="J981" s="228">
        <v>0</v>
      </c>
      <c r="L981">
        <v>551</v>
      </c>
      <c r="M981">
        <v>35.479999999999997</v>
      </c>
    </row>
    <row r="982" spans="1:13">
      <c r="A982" s="216">
        <v>8374</v>
      </c>
      <c r="C982">
        <v>-41</v>
      </c>
      <c r="H982" s="238">
        <v>0</v>
      </c>
      <c r="J982" s="228">
        <v>0</v>
      </c>
      <c r="L982">
        <v>551</v>
      </c>
      <c r="M982">
        <v>35.42</v>
      </c>
    </row>
    <row r="983" spans="1:13">
      <c r="A983" s="216">
        <v>8422</v>
      </c>
      <c r="C983">
        <v>355</v>
      </c>
      <c r="D983">
        <v>2049</v>
      </c>
      <c r="E983">
        <v>1608</v>
      </c>
      <c r="F983">
        <v>4627</v>
      </c>
      <c r="G983">
        <v>0</v>
      </c>
      <c r="H983" s="238">
        <v>0</v>
      </c>
      <c r="J983" s="228">
        <v>0</v>
      </c>
      <c r="L983">
        <v>551</v>
      </c>
      <c r="M983">
        <v>35.35</v>
      </c>
    </row>
    <row r="984" spans="1:13">
      <c r="A984" s="216">
        <v>8427</v>
      </c>
      <c r="C984">
        <v>-147</v>
      </c>
      <c r="H984" s="238">
        <v>0</v>
      </c>
      <c r="J984" s="228">
        <v>0</v>
      </c>
      <c r="L984">
        <v>551</v>
      </c>
      <c r="M984">
        <v>35.29</v>
      </c>
    </row>
    <row r="985" spans="1:13">
      <c r="A985" s="216">
        <v>8454</v>
      </c>
      <c r="C985">
        <v>244</v>
      </c>
      <c r="D985">
        <v>2382</v>
      </c>
      <c r="E985">
        <v>2210</v>
      </c>
      <c r="F985">
        <v>5826</v>
      </c>
      <c r="G985">
        <v>0</v>
      </c>
      <c r="H985" s="238">
        <v>0</v>
      </c>
      <c r="J985" s="228">
        <v>0</v>
      </c>
      <c r="L985">
        <v>551</v>
      </c>
      <c r="M985">
        <v>35.22</v>
      </c>
    </row>
    <row r="986" spans="1:13">
      <c r="A986" s="216">
        <v>8926</v>
      </c>
      <c r="H986" s="238">
        <v>0</v>
      </c>
      <c r="J986" s="228">
        <v>0</v>
      </c>
      <c r="L986">
        <v>551</v>
      </c>
      <c r="M986">
        <v>35.15</v>
      </c>
    </row>
    <row r="987" spans="1:13">
      <c r="A987" s="216">
        <v>8940</v>
      </c>
      <c r="C987">
        <v>-99</v>
      </c>
      <c r="H987" s="238">
        <v>0</v>
      </c>
      <c r="J987" s="228">
        <v>0</v>
      </c>
      <c r="L987">
        <v>551</v>
      </c>
      <c r="M987">
        <v>35.090000000000003</v>
      </c>
    </row>
    <row r="988" spans="1:13">
      <c r="A988" s="216">
        <v>9902</v>
      </c>
      <c r="C988">
        <v>-3</v>
      </c>
      <c r="H988" s="238">
        <v>0</v>
      </c>
      <c r="J988" s="228">
        <v>0</v>
      </c>
      <c r="L988">
        <v>551</v>
      </c>
      <c r="M988">
        <v>35.020000000000003</v>
      </c>
    </row>
    <row r="989" spans="1:13">
      <c r="A989" s="216">
        <v>9905</v>
      </c>
      <c r="H989" s="238">
        <v>0</v>
      </c>
      <c r="J989" s="228">
        <v>0</v>
      </c>
      <c r="L989">
        <v>551</v>
      </c>
      <c r="M989">
        <v>34.96</v>
      </c>
    </row>
    <row r="990" spans="1:13">
      <c r="A990" s="216">
        <v>9906</v>
      </c>
      <c r="C990">
        <v>-2</v>
      </c>
      <c r="H990" s="238">
        <v>0</v>
      </c>
      <c r="J990" s="228">
        <v>0</v>
      </c>
      <c r="L990">
        <v>551</v>
      </c>
      <c r="M990">
        <v>34.89</v>
      </c>
    </row>
    <row r="991" spans="1:13">
      <c r="A991" s="216">
        <v>9908</v>
      </c>
      <c r="H991" s="238">
        <v>0</v>
      </c>
      <c r="J991" s="228">
        <v>0</v>
      </c>
      <c r="L991">
        <v>551</v>
      </c>
      <c r="M991">
        <v>34.83</v>
      </c>
    </row>
    <row r="992" spans="1:13">
      <c r="A992" s="216">
        <v>9912</v>
      </c>
      <c r="C992">
        <v>-18</v>
      </c>
      <c r="H992" s="238">
        <v>0</v>
      </c>
      <c r="J992" s="228">
        <v>0</v>
      </c>
      <c r="L992">
        <v>551</v>
      </c>
      <c r="M992">
        <v>34.76</v>
      </c>
    </row>
    <row r="993" spans="1:13">
      <c r="A993" s="216">
        <v>9918</v>
      </c>
      <c r="C993">
        <v>3</v>
      </c>
      <c r="D993">
        <v>1667</v>
      </c>
      <c r="E993">
        <v>1441</v>
      </c>
      <c r="F993">
        <v>2789</v>
      </c>
      <c r="G993">
        <v>0</v>
      </c>
      <c r="H993" s="238">
        <v>0</v>
      </c>
      <c r="J993" s="228">
        <v>0</v>
      </c>
      <c r="L993">
        <v>551</v>
      </c>
      <c r="M993">
        <v>34.69</v>
      </c>
    </row>
    <row r="994" spans="1:13">
      <c r="A994" s="216">
        <v>9919</v>
      </c>
      <c r="C994">
        <v>-14</v>
      </c>
      <c r="H994" s="238">
        <v>0</v>
      </c>
      <c r="J994" s="228">
        <v>0</v>
      </c>
      <c r="L994">
        <v>551</v>
      </c>
      <c r="M994">
        <v>34.630000000000003</v>
      </c>
    </row>
    <row r="995" spans="1:13">
      <c r="A995" s="216">
        <v>9924</v>
      </c>
      <c r="C995">
        <v>231</v>
      </c>
      <c r="D995">
        <v>2431</v>
      </c>
      <c r="E995">
        <v>1743</v>
      </c>
      <c r="F995">
        <v>4985</v>
      </c>
      <c r="G995">
        <v>0</v>
      </c>
      <c r="H995" s="238">
        <v>0</v>
      </c>
      <c r="J995" s="228">
        <v>0</v>
      </c>
      <c r="L995">
        <v>551</v>
      </c>
      <c r="M995">
        <v>34.56</v>
      </c>
    </row>
    <row r="996" spans="1:13">
      <c r="A996" s="216">
        <v>9926</v>
      </c>
      <c r="C996">
        <v>76</v>
      </c>
      <c r="D996">
        <v>995</v>
      </c>
      <c r="E996">
        <v>2135</v>
      </c>
      <c r="F996">
        <v>2629</v>
      </c>
      <c r="G996">
        <v>0</v>
      </c>
      <c r="H996" s="238">
        <v>0</v>
      </c>
      <c r="J996" s="228">
        <v>0</v>
      </c>
      <c r="L996">
        <v>551</v>
      </c>
      <c r="M996">
        <v>34.5</v>
      </c>
    </row>
    <row r="997" spans="1:13">
      <c r="A997" s="216">
        <v>9928</v>
      </c>
      <c r="C997">
        <v>-79</v>
      </c>
      <c r="H997" s="238">
        <v>0</v>
      </c>
      <c r="J997" s="228">
        <v>0</v>
      </c>
      <c r="L997">
        <v>551</v>
      </c>
      <c r="M997">
        <v>34.43</v>
      </c>
    </row>
    <row r="998" spans="1:13">
      <c r="A998" s="216">
        <v>9929</v>
      </c>
      <c r="C998">
        <v>-31</v>
      </c>
      <c r="H998" s="238">
        <v>0</v>
      </c>
      <c r="J998" s="228">
        <v>0</v>
      </c>
      <c r="L998">
        <v>551</v>
      </c>
      <c r="M998">
        <v>34.36</v>
      </c>
    </row>
    <row r="999" spans="1:13">
      <c r="A999" s="216">
        <v>9940</v>
      </c>
      <c r="C999">
        <v>44</v>
      </c>
      <c r="D999">
        <v>8886</v>
      </c>
      <c r="E999">
        <v>3575</v>
      </c>
      <c r="F999">
        <v>9341</v>
      </c>
      <c r="G999">
        <v>303</v>
      </c>
      <c r="H999" s="238">
        <v>0</v>
      </c>
      <c r="J999" s="228">
        <v>0</v>
      </c>
      <c r="L999">
        <v>551</v>
      </c>
      <c r="M999">
        <v>34.299999999999997</v>
      </c>
    </row>
    <row r="1000" spans="1:13">
      <c r="A1000" s="216">
        <v>9941</v>
      </c>
      <c r="H1000" s="238">
        <v>0</v>
      </c>
      <c r="J1000" s="228">
        <v>0</v>
      </c>
      <c r="L1000">
        <v>551</v>
      </c>
      <c r="M1000">
        <v>34.229999999999997</v>
      </c>
    </row>
    <row r="1001" spans="1:13">
      <c r="A1001" s="216">
        <v>9946</v>
      </c>
      <c r="H1001" s="238">
        <v>0</v>
      </c>
      <c r="J1001" s="228">
        <v>0</v>
      </c>
      <c r="L1001">
        <v>551</v>
      </c>
      <c r="M1001">
        <v>34.17</v>
      </c>
    </row>
    <row r="1002" spans="1:13">
      <c r="A1002" s="216">
        <v>9955</v>
      </c>
      <c r="C1002">
        <v>-30</v>
      </c>
      <c r="H1002" s="238">
        <v>0</v>
      </c>
      <c r="J1002" s="228">
        <v>0</v>
      </c>
      <c r="L1002">
        <v>551</v>
      </c>
      <c r="M1002">
        <v>34.1</v>
      </c>
    </row>
    <row r="1003" spans="1:13">
      <c r="A1003" s="216">
        <v>9958</v>
      </c>
      <c r="H1003" s="238">
        <v>0</v>
      </c>
      <c r="J1003" s="228">
        <v>0</v>
      </c>
      <c r="L1003">
        <v>551</v>
      </c>
      <c r="M1003">
        <v>34.04</v>
      </c>
    </row>
    <row r="1004" spans="1:13">
      <c r="A1004" s="216">
        <v>1258</v>
      </c>
      <c r="H1004" s="238">
        <v>0</v>
      </c>
      <c r="J1004" s="228">
        <v>0</v>
      </c>
      <c r="L1004">
        <v>551</v>
      </c>
      <c r="M1004">
        <v>33.97</v>
      </c>
    </row>
    <row r="1005" spans="1:13">
      <c r="A1005" s="216">
        <v>1259</v>
      </c>
      <c r="C1005">
        <v>59</v>
      </c>
      <c r="D1005">
        <v>1162</v>
      </c>
      <c r="E1005">
        <v>349</v>
      </c>
      <c r="F1005">
        <v>1654</v>
      </c>
      <c r="G1005">
        <v>0</v>
      </c>
      <c r="H1005" s="238">
        <v>0</v>
      </c>
      <c r="J1005" s="228">
        <v>0</v>
      </c>
      <c r="L1005">
        <v>551</v>
      </c>
      <c r="M1005">
        <v>33.9</v>
      </c>
    </row>
    <row r="1006" spans="1:13">
      <c r="A1006" s="216">
        <v>1264</v>
      </c>
      <c r="H1006" s="238">
        <v>0</v>
      </c>
      <c r="J1006" s="228">
        <v>0</v>
      </c>
      <c r="L1006">
        <v>551</v>
      </c>
      <c r="M1006">
        <v>33.840000000000003</v>
      </c>
    </row>
    <row r="1007" spans="1:13">
      <c r="A1007" s="216">
        <v>1333</v>
      </c>
      <c r="H1007" s="238">
        <v>0</v>
      </c>
      <c r="J1007" s="228">
        <v>0</v>
      </c>
      <c r="L1007">
        <v>551</v>
      </c>
      <c r="M1007">
        <v>33.770000000000003</v>
      </c>
    </row>
    <row r="1008" spans="1:13">
      <c r="A1008" s="216">
        <v>1336</v>
      </c>
      <c r="C1008">
        <v>-49</v>
      </c>
      <c r="H1008" s="238">
        <v>0</v>
      </c>
      <c r="J1008" s="228">
        <v>0</v>
      </c>
      <c r="L1008">
        <v>551</v>
      </c>
      <c r="M1008">
        <v>33.71</v>
      </c>
    </row>
    <row r="1009" spans="1:13">
      <c r="A1009" s="216">
        <v>1569</v>
      </c>
      <c r="C1009">
        <v>-52</v>
      </c>
      <c r="H1009" s="238">
        <v>0</v>
      </c>
      <c r="J1009" s="228">
        <v>0</v>
      </c>
      <c r="L1009">
        <v>551</v>
      </c>
      <c r="M1009">
        <v>33.64</v>
      </c>
    </row>
    <row r="1010" spans="1:13">
      <c r="A1010" s="216">
        <v>1570</v>
      </c>
      <c r="C1010">
        <v>34</v>
      </c>
      <c r="D1010">
        <v>360</v>
      </c>
      <c r="E1010">
        <v>234</v>
      </c>
      <c r="F1010">
        <v>606</v>
      </c>
      <c r="G1010">
        <v>0</v>
      </c>
      <c r="H1010" s="238">
        <v>0</v>
      </c>
      <c r="J1010" s="228">
        <v>0</v>
      </c>
      <c r="L1010">
        <v>551</v>
      </c>
      <c r="M1010">
        <v>33.57</v>
      </c>
    </row>
    <row r="1011" spans="1:13">
      <c r="A1011" s="216">
        <v>1584</v>
      </c>
      <c r="C1011">
        <v>-13</v>
      </c>
      <c r="H1011" s="238">
        <v>0</v>
      </c>
      <c r="J1011" s="228">
        <v>0</v>
      </c>
      <c r="L1011">
        <v>551</v>
      </c>
      <c r="M1011">
        <v>33.51</v>
      </c>
    </row>
    <row r="1012" spans="1:13">
      <c r="A1012" s="216">
        <v>1586</v>
      </c>
      <c r="H1012" s="238">
        <v>0</v>
      </c>
      <c r="J1012" s="228">
        <v>0</v>
      </c>
      <c r="L1012">
        <v>551</v>
      </c>
      <c r="M1012">
        <v>33.44</v>
      </c>
    </row>
    <row r="1013" spans="1:13">
      <c r="A1013" s="216">
        <v>1595</v>
      </c>
      <c r="H1013" s="238">
        <v>0</v>
      </c>
      <c r="J1013" s="228">
        <v>0</v>
      </c>
      <c r="L1013">
        <v>551</v>
      </c>
      <c r="M1013">
        <v>33.380000000000003</v>
      </c>
    </row>
    <row r="1014" spans="1:13">
      <c r="A1014" s="216">
        <v>1599</v>
      </c>
      <c r="C1014">
        <v>133</v>
      </c>
      <c r="D1014">
        <v>508</v>
      </c>
      <c r="E1014">
        <v>524</v>
      </c>
      <c r="F1014">
        <v>1194</v>
      </c>
      <c r="G1014">
        <v>0</v>
      </c>
      <c r="H1014" s="238">
        <v>0</v>
      </c>
      <c r="J1014" s="228">
        <v>0</v>
      </c>
      <c r="L1014">
        <v>551</v>
      </c>
      <c r="M1014">
        <v>33.31</v>
      </c>
    </row>
    <row r="1015" spans="1:13">
      <c r="A1015" s="216">
        <v>1742</v>
      </c>
      <c r="H1015" s="238">
        <v>0</v>
      </c>
      <c r="J1015" s="228">
        <v>0</v>
      </c>
      <c r="L1015">
        <v>551</v>
      </c>
      <c r="M1015">
        <v>33.25</v>
      </c>
    </row>
    <row r="1016" spans="1:13">
      <c r="A1016" s="216">
        <v>1752</v>
      </c>
      <c r="H1016" s="238">
        <v>0</v>
      </c>
      <c r="J1016" s="228">
        <v>0</v>
      </c>
      <c r="L1016">
        <v>551</v>
      </c>
      <c r="M1016">
        <v>33.18</v>
      </c>
    </row>
    <row r="1017" spans="1:13">
      <c r="A1017" s="216">
        <v>1781</v>
      </c>
      <c r="C1017">
        <v>-16</v>
      </c>
      <c r="H1017" s="238">
        <v>0</v>
      </c>
      <c r="J1017" s="228">
        <v>0</v>
      </c>
      <c r="L1017">
        <v>551</v>
      </c>
      <c r="M1017">
        <v>33.11</v>
      </c>
    </row>
    <row r="1018" spans="1:13">
      <c r="A1018" s="216">
        <v>1784</v>
      </c>
      <c r="H1018" s="238">
        <v>0</v>
      </c>
      <c r="J1018" s="228">
        <v>0</v>
      </c>
      <c r="L1018">
        <v>551</v>
      </c>
      <c r="M1018">
        <v>33.049999999999997</v>
      </c>
    </row>
    <row r="1019" spans="1:13">
      <c r="A1019" s="216">
        <v>1799</v>
      </c>
      <c r="H1019" s="238">
        <v>0</v>
      </c>
      <c r="J1019" s="228">
        <v>0</v>
      </c>
      <c r="L1019">
        <v>551</v>
      </c>
      <c r="M1019">
        <v>32.979999999999997</v>
      </c>
    </row>
    <row r="1020" spans="1:13">
      <c r="A1020" s="216">
        <v>1813</v>
      </c>
      <c r="C1020">
        <v>13</v>
      </c>
      <c r="D1020">
        <v>376</v>
      </c>
      <c r="E1020">
        <v>404</v>
      </c>
      <c r="F1020">
        <v>1005</v>
      </c>
      <c r="G1020">
        <v>0</v>
      </c>
      <c r="H1020" s="238">
        <v>0</v>
      </c>
      <c r="J1020" s="228">
        <v>0</v>
      </c>
      <c r="L1020">
        <v>551</v>
      </c>
      <c r="M1020">
        <v>32.92</v>
      </c>
    </row>
    <row r="1021" spans="1:13">
      <c r="A1021" s="216">
        <v>1815</v>
      </c>
      <c r="H1021" s="238">
        <v>0</v>
      </c>
      <c r="J1021" s="228">
        <v>0</v>
      </c>
      <c r="L1021">
        <v>551</v>
      </c>
      <c r="M1021">
        <v>32.85</v>
      </c>
    </row>
    <row r="1022" spans="1:13">
      <c r="A1022" s="216">
        <v>2035</v>
      </c>
      <c r="H1022" s="238">
        <v>0</v>
      </c>
      <c r="J1022" s="228">
        <v>0</v>
      </c>
      <c r="L1022">
        <v>551</v>
      </c>
      <c r="M1022">
        <v>32.78</v>
      </c>
    </row>
    <row r="1023" spans="1:13">
      <c r="A1023" s="216">
        <v>2061</v>
      </c>
      <c r="C1023">
        <v>-19</v>
      </c>
      <c r="H1023" s="238">
        <v>0</v>
      </c>
      <c r="J1023" s="228">
        <v>0</v>
      </c>
      <c r="L1023">
        <v>551</v>
      </c>
      <c r="M1023">
        <v>32.72</v>
      </c>
    </row>
    <row r="1024" spans="1:13">
      <c r="A1024" s="216">
        <v>2063</v>
      </c>
      <c r="H1024" s="238">
        <v>0</v>
      </c>
      <c r="J1024" s="228">
        <v>0</v>
      </c>
      <c r="L1024">
        <v>551</v>
      </c>
      <c r="M1024">
        <v>32.65</v>
      </c>
    </row>
    <row r="1025" spans="1:13">
      <c r="A1025" s="216">
        <v>2064</v>
      </c>
      <c r="H1025" s="238">
        <v>0</v>
      </c>
      <c r="J1025" s="228">
        <v>0</v>
      </c>
      <c r="L1025">
        <v>551</v>
      </c>
      <c r="M1025">
        <v>32.590000000000003</v>
      </c>
    </row>
    <row r="1026" spans="1:13">
      <c r="A1026" s="216">
        <v>2066</v>
      </c>
      <c r="C1026">
        <v>67</v>
      </c>
      <c r="D1026">
        <v>653</v>
      </c>
      <c r="E1026">
        <v>306</v>
      </c>
      <c r="F1026">
        <v>993</v>
      </c>
      <c r="G1026">
        <v>0</v>
      </c>
      <c r="H1026" s="238">
        <v>0</v>
      </c>
      <c r="J1026" s="228">
        <v>0</v>
      </c>
      <c r="L1026">
        <v>551</v>
      </c>
      <c r="M1026">
        <v>32.520000000000003</v>
      </c>
    </row>
    <row r="1027" spans="1:13">
      <c r="A1027" s="216">
        <v>2067</v>
      </c>
      <c r="H1027" s="238">
        <v>0</v>
      </c>
      <c r="J1027" s="228">
        <v>0</v>
      </c>
      <c r="L1027">
        <v>551</v>
      </c>
      <c r="M1027">
        <v>32.46</v>
      </c>
    </row>
    <row r="1028" spans="1:13">
      <c r="A1028" s="216">
        <v>2221</v>
      </c>
      <c r="H1028" s="238">
        <v>0</v>
      </c>
      <c r="J1028" s="228">
        <v>0</v>
      </c>
      <c r="L1028">
        <v>551</v>
      </c>
      <c r="M1028">
        <v>32.39</v>
      </c>
    </row>
    <row r="1029" spans="1:13">
      <c r="A1029" s="216">
        <v>2230</v>
      </c>
      <c r="C1029">
        <v>2</v>
      </c>
      <c r="D1029">
        <v>280</v>
      </c>
      <c r="E1029">
        <v>270</v>
      </c>
      <c r="F1029">
        <v>539</v>
      </c>
      <c r="G1029">
        <v>132</v>
      </c>
      <c r="H1029" s="238">
        <v>0</v>
      </c>
      <c r="J1029" s="228">
        <v>0</v>
      </c>
      <c r="L1029">
        <v>551</v>
      </c>
      <c r="M1029">
        <v>32.32</v>
      </c>
    </row>
    <row r="1030" spans="1:13">
      <c r="A1030" s="216">
        <v>2233</v>
      </c>
      <c r="H1030" s="238">
        <v>0</v>
      </c>
      <c r="J1030" s="228">
        <v>0</v>
      </c>
      <c r="L1030">
        <v>551</v>
      </c>
      <c r="M1030">
        <v>32.26</v>
      </c>
    </row>
    <row r="1031" spans="1:13">
      <c r="A1031" s="216">
        <v>2235</v>
      </c>
      <c r="H1031" s="238">
        <v>0</v>
      </c>
      <c r="J1031" s="228">
        <v>0</v>
      </c>
      <c r="L1031">
        <v>551</v>
      </c>
      <c r="M1031">
        <v>32.19</v>
      </c>
    </row>
    <row r="1032" spans="1:13">
      <c r="A1032" s="216">
        <v>2636</v>
      </c>
      <c r="H1032" s="238">
        <v>0</v>
      </c>
      <c r="J1032" s="228">
        <v>0</v>
      </c>
      <c r="L1032">
        <v>551</v>
      </c>
      <c r="M1032">
        <v>32.130000000000003</v>
      </c>
    </row>
    <row r="1033" spans="1:13">
      <c r="A1033" s="216">
        <v>2640</v>
      </c>
      <c r="H1033" s="238">
        <v>0</v>
      </c>
      <c r="J1033" s="228">
        <v>0</v>
      </c>
      <c r="L1033">
        <v>551</v>
      </c>
      <c r="M1033">
        <v>32.06</v>
      </c>
    </row>
    <row r="1034" spans="1:13">
      <c r="A1034" s="216">
        <v>2719</v>
      </c>
      <c r="C1034">
        <v>-12</v>
      </c>
      <c r="H1034" s="238">
        <v>0</v>
      </c>
      <c r="J1034" s="228">
        <v>0</v>
      </c>
      <c r="L1034">
        <v>551</v>
      </c>
      <c r="M1034">
        <v>31.99</v>
      </c>
    </row>
    <row r="1035" spans="1:13">
      <c r="A1035" s="216">
        <v>2724</v>
      </c>
      <c r="C1035">
        <v>-11</v>
      </c>
      <c r="H1035" s="238">
        <v>0</v>
      </c>
      <c r="J1035" s="228">
        <v>0</v>
      </c>
      <c r="L1035">
        <v>551</v>
      </c>
      <c r="M1035">
        <v>31.93</v>
      </c>
    </row>
    <row r="1036" spans="1:13">
      <c r="A1036" s="216">
        <v>2729</v>
      </c>
      <c r="C1036">
        <v>83</v>
      </c>
      <c r="D1036">
        <v>821</v>
      </c>
      <c r="E1036">
        <v>931</v>
      </c>
      <c r="F1036">
        <v>1797</v>
      </c>
      <c r="G1036">
        <v>0</v>
      </c>
      <c r="H1036" s="238">
        <v>0</v>
      </c>
      <c r="J1036" s="228">
        <v>0</v>
      </c>
      <c r="L1036">
        <v>551</v>
      </c>
      <c r="M1036">
        <v>31.86</v>
      </c>
    </row>
    <row r="1037" spans="1:13">
      <c r="A1037" s="216">
        <v>2734</v>
      </c>
      <c r="C1037">
        <v>-5</v>
      </c>
      <c r="H1037" s="238">
        <v>0</v>
      </c>
      <c r="J1037" s="228">
        <v>0</v>
      </c>
      <c r="L1037">
        <v>551</v>
      </c>
      <c r="M1037">
        <v>31.8</v>
      </c>
    </row>
    <row r="1038" spans="1:13">
      <c r="A1038" s="216">
        <v>2916</v>
      </c>
      <c r="C1038">
        <v>-10</v>
      </c>
      <c r="H1038" s="238">
        <v>0</v>
      </c>
      <c r="J1038" s="228">
        <v>0</v>
      </c>
      <c r="L1038">
        <v>551</v>
      </c>
      <c r="M1038">
        <v>31.73</v>
      </c>
    </row>
    <row r="1039" spans="1:13">
      <c r="A1039" s="216">
        <v>3064</v>
      </c>
      <c r="C1039">
        <v>-34</v>
      </c>
      <c r="H1039" s="238">
        <v>0</v>
      </c>
      <c r="J1039" s="228">
        <v>0</v>
      </c>
      <c r="L1039">
        <v>551</v>
      </c>
      <c r="M1039">
        <v>31.67</v>
      </c>
    </row>
    <row r="1040" spans="1:13">
      <c r="A1040" s="216">
        <v>3066</v>
      </c>
      <c r="C1040">
        <v>-55</v>
      </c>
      <c r="H1040" s="238">
        <v>0</v>
      </c>
      <c r="J1040" s="228">
        <v>0</v>
      </c>
      <c r="L1040">
        <v>551</v>
      </c>
      <c r="M1040">
        <v>31.6</v>
      </c>
    </row>
    <row r="1041" spans="1:13">
      <c r="A1041" s="216">
        <v>3067</v>
      </c>
      <c r="C1041">
        <v>-10</v>
      </c>
      <c r="H1041" s="238">
        <v>0</v>
      </c>
      <c r="J1041" s="228">
        <v>0</v>
      </c>
      <c r="L1041">
        <v>551</v>
      </c>
      <c r="M1041">
        <v>31.53</v>
      </c>
    </row>
    <row r="1042" spans="1:13">
      <c r="A1042" s="216">
        <v>3071</v>
      </c>
      <c r="C1042">
        <v>4</v>
      </c>
      <c r="D1042">
        <v>821</v>
      </c>
      <c r="E1042">
        <v>520</v>
      </c>
      <c r="F1042">
        <v>1510</v>
      </c>
      <c r="G1042">
        <v>326</v>
      </c>
      <c r="H1042" s="238">
        <v>0</v>
      </c>
      <c r="J1042" s="228">
        <v>0</v>
      </c>
      <c r="L1042">
        <v>551</v>
      </c>
      <c r="M1042">
        <v>31.47</v>
      </c>
    </row>
    <row r="1043" spans="1:13">
      <c r="A1043" s="216">
        <v>3073</v>
      </c>
      <c r="H1043" s="238">
        <v>0</v>
      </c>
      <c r="J1043" s="228">
        <v>0</v>
      </c>
      <c r="L1043">
        <v>551</v>
      </c>
      <c r="M1043">
        <v>31.4</v>
      </c>
    </row>
    <row r="1044" spans="1:13">
      <c r="A1044" s="216">
        <v>3081</v>
      </c>
      <c r="C1044">
        <v>320</v>
      </c>
      <c r="D1044">
        <v>2345</v>
      </c>
      <c r="E1044">
        <v>872</v>
      </c>
      <c r="F1044">
        <v>3279</v>
      </c>
      <c r="G1044">
        <v>0</v>
      </c>
      <c r="H1044" s="238">
        <v>0</v>
      </c>
      <c r="J1044" s="228">
        <v>0</v>
      </c>
      <c r="L1044">
        <v>551</v>
      </c>
      <c r="M1044">
        <v>31.34</v>
      </c>
    </row>
    <row r="1045" spans="1:13">
      <c r="A1045" s="216">
        <v>3083</v>
      </c>
      <c r="C1045">
        <v>-76</v>
      </c>
      <c r="H1045" s="238">
        <v>0</v>
      </c>
      <c r="J1045" s="228">
        <v>0</v>
      </c>
      <c r="L1045">
        <v>551</v>
      </c>
      <c r="M1045">
        <v>31.27</v>
      </c>
    </row>
    <row r="1046" spans="1:13">
      <c r="A1046" s="216">
        <v>3085</v>
      </c>
      <c r="C1046">
        <v>1</v>
      </c>
      <c r="D1046">
        <v>278</v>
      </c>
      <c r="E1046">
        <v>4</v>
      </c>
      <c r="F1046">
        <v>307</v>
      </c>
      <c r="G1046">
        <v>0</v>
      </c>
      <c r="H1046" s="238">
        <v>0</v>
      </c>
      <c r="J1046" s="228">
        <v>0</v>
      </c>
      <c r="L1046">
        <v>551</v>
      </c>
      <c r="M1046">
        <v>31.2</v>
      </c>
    </row>
    <row r="1047" spans="1:13">
      <c r="A1047" s="216">
        <v>3086</v>
      </c>
      <c r="C1047">
        <v>-27</v>
      </c>
      <c r="H1047" s="238">
        <v>0</v>
      </c>
      <c r="J1047" s="228">
        <v>0</v>
      </c>
      <c r="L1047">
        <v>551</v>
      </c>
      <c r="M1047">
        <v>31.14</v>
      </c>
    </row>
    <row r="1048" spans="1:13">
      <c r="A1048" s="216">
        <v>3089</v>
      </c>
      <c r="H1048" s="238">
        <v>0</v>
      </c>
      <c r="J1048" s="228">
        <v>0</v>
      </c>
      <c r="L1048">
        <v>551</v>
      </c>
      <c r="M1048">
        <v>31.07</v>
      </c>
    </row>
    <row r="1049" spans="1:13">
      <c r="A1049" s="216">
        <v>3093</v>
      </c>
      <c r="C1049">
        <v>23</v>
      </c>
      <c r="D1049">
        <v>620</v>
      </c>
      <c r="E1049">
        <v>262</v>
      </c>
      <c r="F1049">
        <v>914</v>
      </c>
      <c r="G1049">
        <v>0</v>
      </c>
      <c r="H1049" s="238">
        <v>0</v>
      </c>
      <c r="J1049" s="228">
        <v>0</v>
      </c>
      <c r="L1049">
        <v>551</v>
      </c>
      <c r="M1049">
        <v>31.01</v>
      </c>
    </row>
    <row r="1050" spans="1:13">
      <c r="A1050" s="216">
        <v>3095</v>
      </c>
      <c r="C1050">
        <v>-344</v>
      </c>
      <c r="H1050" s="238">
        <v>0</v>
      </c>
      <c r="J1050" s="228">
        <v>0</v>
      </c>
      <c r="L1050">
        <v>551</v>
      </c>
      <c r="M1050">
        <v>30.94</v>
      </c>
    </row>
    <row r="1051" spans="1:13">
      <c r="A1051" s="216">
        <v>3105</v>
      </c>
      <c r="H1051" s="238">
        <v>0</v>
      </c>
      <c r="J1051" s="228">
        <v>0</v>
      </c>
      <c r="L1051">
        <v>551</v>
      </c>
      <c r="M1051">
        <v>30.88</v>
      </c>
    </row>
    <row r="1052" spans="1:13">
      <c r="A1052" s="216">
        <v>3114</v>
      </c>
      <c r="H1052" s="238">
        <v>0</v>
      </c>
      <c r="J1052" s="228">
        <v>0</v>
      </c>
      <c r="L1052">
        <v>551</v>
      </c>
      <c r="M1052">
        <v>30.81</v>
      </c>
    </row>
    <row r="1053" spans="1:13">
      <c r="A1053" s="216">
        <v>3115</v>
      </c>
      <c r="C1053">
        <v>-2</v>
      </c>
      <c r="H1053" s="238">
        <v>0</v>
      </c>
      <c r="J1053" s="228">
        <v>0</v>
      </c>
      <c r="L1053">
        <v>551</v>
      </c>
      <c r="M1053">
        <v>30.74</v>
      </c>
    </row>
    <row r="1054" spans="1:13">
      <c r="A1054" s="216">
        <v>3118</v>
      </c>
      <c r="C1054">
        <v>21</v>
      </c>
      <c r="D1054">
        <v>325</v>
      </c>
      <c r="E1054">
        <v>155</v>
      </c>
      <c r="F1054">
        <v>501</v>
      </c>
      <c r="G1054">
        <v>0</v>
      </c>
      <c r="H1054" s="238">
        <v>0</v>
      </c>
      <c r="J1054" s="228">
        <v>0</v>
      </c>
      <c r="L1054">
        <v>551</v>
      </c>
      <c r="M1054">
        <v>30.68</v>
      </c>
    </row>
    <row r="1055" spans="1:13">
      <c r="A1055" s="216">
        <v>3122</v>
      </c>
      <c r="C1055">
        <v>-3</v>
      </c>
      <c r="H1055" s="238">
        <v>0</v>
      </c>
      <c r="J1055" s="228">
        <v>0</v>
      </c>
      <c r="L1055">
        <v>551</v>
      </c>
      <c r="M1055">
        <v>30.61</v>
      </c>
    </row>
    <row r="1056" spans="1:13">
      <c r="A1056" s="216">
        <v>3126</v>
      </c>
      <c r="H1056" s="238">
        <v>0</v>
      </c>
      <c r="J1056" s="228">
        <v>0</v>
      </c>
      <c r="L1056">
        <v>551</v>
      </c>
      <c r="M1056">
        <v>30.55</v>
      </c>
    </row>
    <row r="1057" spans="1:13">
      <c r="A1057" s="216">
        <v>3128</v>
      </c>
      <c r="H1057" s="238">
        <v>0</v>
      </c>
      <c r="J1057" s="228">
        <v>0</v>
      </c>
      <c r="L1057">
        <v>551</v>
      </c>
      <c r="M1057">
        <v>30.48</v>
      </c>
    </row>
    <row r="1058" spans="1:13">
      <c r="A1058" s="216">
        <v>3131</v>
      </c>
      <c r="H1058" s="238">
        <v>0</v>
      </c>
      <c r="J1058" s="228">
        <v>0</v>
      </c>
      <c r="L1058">
        <v>551</v>
      </c>
      <c r="M1058">
        <v>30.41</v>
      </c>
    </row>
    <row r="1059" spans="1:13">
      <c r="A1059" s="216">
        <v>3141</v>
      </c>
      <c r="C1059">
        <v>15</v>
      </c>
      <c r="D1059">
        <v>953</v>
      </c>
      <c r="E1059">
        <v>91</v>
      </c>
      <c r="F1059">
        <v>1215</v>
      </c>
      <c r="G1059">
        <v>0</v>
      </c>
      <c r="H1059" s="238">
        <v>0</v>
      </c>
      <c r="J1059" s="228">
        <v>0</v>
      </c>
      <c r="L1059">
        <v>551</v>
      </c>
      <c r="M1059">
        <v>30.35</v>
      </c>
    </row>
    <row r="1060" spans="1:13">
      <c r="A1060" s="216">
        <v>3152</v>
      </c>
      <c r="C1060">
        <v>242</v>
      </c>
      <c r="D1060">
        <v>2022</v>
      </c>
      <c r="E1060">
        <v>859</v>
      </c>
      <c r="F1060">
        <v>2886</v>
      </c>
      <c r="G1060">
        <v>0</v>
      </c>
      <c r="H1060" s="238">
        <v>0</v>
      </c>
      <c r="J1060" s="228">
        <v>0</v>
      </c>
      <c r="L1060">
        <v>551</v>
      </c>
      <c r="M1060">
        <v>30.28</v>
      </c>
    </row>
    <row r="1061" spans="1:13">
      <c r="A1061" s="216">
        <v>3163</v>
      </c>
      <c r="C1061">
        <v>-30</v>
      </c>
      <c r="H1061" s="238">
        <v>0</v>
      </c>
      <c r="J1061" s="228">
        <v>0</v>
      </c>
      <c r="L1061">
        <v>551</v>
      </c>
      <c r="M1061">
        <v>30.22</v>
      </c>
    </row>
    <row r="1062" spans="1:13">
      <c r="A1062" s="216">
        <v>3169</v>
      </c>
      <c r="H1062" s="238">
        <v>0</v>
      </c>
      <c r="J1062" s="228">
        <v>0</v>
      </c>
      <c r="L1062">
        <v>551</v>
      </c>
      <c r="M1062">
        <v>30.15</v>
      </c>
    </row>
    <row r="1063" spans="1:13">
      <c r="A1063" s="216">
        <v>3176</v>
      </c>
      <c r="H1063" s="238">
        <v>0</v>
      </c>
      <c r="J1063" s="228">
        <v>0</v>
      </c>
      <c r="L1063">
        <v>551</v>
      </c>
      <c r="M1063">
        <v>30.09</v>
      </c>
    </row>
    <row r="1064" spans="1:13">
      <c r="A1064" s="216">
        <v>3188</v>
      </c>
      <c r="C1064">
        <v>-2</v>
      </c>
      <c r="H1064" s="238">
        <v>0</v>
      </c>
      <c r="J1064" s="228">
        <v>0</v>
      </c>
      <c r="L1064">
        <v>551</v>
      </c>
      <c r="M1064">
        <v>30.02</v>
      </c>
    </row>
    <row r="1065" spans="1:13">
      <c r="A1065" s="216">
        <v>3191</v>
      </c>
      <c r="C1065">
        <v>-11</v>
      </c>
      <c r="H1065" s="238">
        <v>0</v>
      </c>
      <c r="J1065" s="228">
        <v>0</v>
      </c>
      <c r="L1065">
        <v>551</v>
      </c>
      <c r="M1065">
        <v>29.95</v>
      </c>
    </row>
    <row r="1066" spans="1:13">
      <c r="A1066" s="216">
        <v>3202</v>
      </c>
      <c r="H1066" s="238">
        <v>0</v>
      </c>
      <c r="J1066" s="228">
        <v>0</v>
      </c>
      <c r="L1066">
        <v>551</v>
      </c>
      <c r="M1066">
        <v>29.89</v>
      </c>
    </row>
    <row r="1067" spans="1:13">
      <c r="A1067" s="216">
        <v>3205</v>
      </c>
      <c r="H1067" s="238">
        <v>0</v>
      </c>
      <c r="J1067" s="228">
        <v>0</v>
      </c>
      <c r="L1067">
        <v>551</v>
      </c>
      <c r="M1067">
        <v>29.82</v>
      </c>
    </row>
    <row r="1068" spans="1:13">
      <c r="A1068" s="216">
        <v>3206</v>
      </c>
      <c r="C1068">
        <v>28</v>
      </c>
      <c r="D1068">
        <v>554</v>
      </c>
      <c r="E1068">
        <v>113</v>
      </c>
      <c r="F1068">
        <v>760</v>
      </c>
      <c r="G1068">
        <v>0</v>
      </c>
      <c r="H1068" s="238">
        <v>0</v>
      </c>
      <c r="J1068" s="228">
        <v>0</v>
      </c>
      <c r="L1068">
        <v>551</v>
      </c>
      <c r="M1068">
        <v>29.76</v>
      </c>
    </row>
    <row r="1069" spans="1:13">
      <c r="A1069" s="216">
        <v>3207</v>
      </c>
      <c r="C1069">
        <v>-13</v>
      </c>
      <c r="H1069" s="238">
        <v>0</v>
      </c>
      <c r="J1069" s="228">
        <v>0</v>
      </c>
      <c r="L1069">
        <v>551</v>
      </c>
      <c r="M1069">
        <v>29.69</v>
      </c>
    </row>
    <row r="1070" spans="1:13">
      <c r="A1070" s="216">
        <v>3211</v>
      </c>
      <c r="H1070" s="238">
        <v>0</v>
      </c>
      <c r="J1070" s="228">
        <v>0</v>
      </c>
      <c r="L1070">
        <v>551</v>
      </c>
      <c r="M1070">
        <v>29.62</v>
      </c>
    </row>
    <row r="1071" spans="1:13">
      <c r="A1071" s="216">
        <v>3213</v>
      </c>
      <c r="C1071">
        <v>60</v>
      </c>
      <c r="D1071">
        <v>992</v>
      </c>
      <c r="E1071">
        <v>163</v>
      </c>
      <c r="F1071">
        <v>1228</v>
      </c>
      <c r="G1071">
        <v>0</v>
      </c>
      <c r="H1071" s="238">
        <v>0</v>
      </c>
      <c r="J1071" s="228">
        <v>0</v>
      </c>
      <c r="L1071">
        <v>551</v>
      </c>
      <c r="M1071">
        <v>29.56</v>
      </c>
    </row>
    <row r="1072" spans="1:13">
      <c r="A1072" s="216">
        <v>3217</v>
      </c>
      <c r="H1072" s="238">
        <v>0</v>
      </c>
      <c r="J1072" s="228">
        <v>0</v>
      </c>
      <c r="L1072">
        <v>551</v>
      </c>
      <c r="M1072">
        <v>29.49</v>
      </c>
    </row>
    <row r="1073" spans="1:13">
      <c r="A1073" s="216">
        <v>3224</v>
      </c>
      <c r="H1073" s="238">
        <v>0</v>
      </c>
      <c r="J1073" s="228">
        <v>0</v>
      </c>
      <c r="L1073">
        <v>551</v>
      </c>
      <c r="M1073">
        <v>29.43</v>
      </c>
    </row>
    <row r="1074" spans="1:13">
      <c r="A1074" s="216">
        <v>3226</v>
      </c>
      <c r="C1074">
        <v>44</v>
      </c>
      <c r="D1074">
        <v>683</v>
      </c>
      <c r="E1074">
        <v>104</v>
      </c>
      <c r="F1074">
        <v>826</v>
      </c>
      <c r="G1074">
        <v>0</v>
      </c>
      <c r="H1074" s="238">
        <v>0</v>
      </c>
      <c r="J1074" s="228">
        <v>0</v>
      </c>
      <c r="L1074">
        <v>551</v>
      </c>
      <c r="M1074">
        <v>29.36</v>
      </c>
    </row>
    <row r="1075" spans="1:13">
      <c r="A1075" s="216">
        <v>3227</v>
      </c>
      <c r="H1075" s="238">
        <v>0</v>
      </c>
      <c r="J1075" s="228">
        <v>0</v>
      </c>
      <c r="L1075">
        <v>551</v>
      </c>
      <c r="M1075">
        <v>29.3</v>
      </c>
    </row>
    <row r="1076" spans="1:13">
      <c r="A1076" s="216">
        <v>3228</v>
      </c>
      <c r="C1076">
        <v>-21</v>
      </c>
      <c r="H1076" s="238">
        <v>0</v>
      </c>
      <c r="J1076" s="228">
        <v>0</v>
      </c>
      <c r="L1076">
        <v>551</v>
      </c>
      <c r="M1076">
        <v>29.23</v>
      </c>
    </row>
    <row r="1077" spans="1:13">
      <c r="A1077" s="216">
        <v>3230</v>
      </c>
      <c r="H1077" s="238">
        <v>0</v>
      </c>
      <c r="J1077" s="228">
        <v>0</v>
      </c>
      <c r="L1077">
        <v>551</v>
      </c>
      <c r="M1077">
        <v>29.16</v>
      </c>
    </row>
    <row r="1078" spans="1:13">
      <c r="A1078" s="216">
        <v>3232</v>
      </c>
      <c r="H1078" s="238">
        <v>0</v>
      </c>
      <c r="J1078" s="228">
        <v>0</v>
      </c>
      <c r="L1078">
        <v>551</v>
      </c>
      <c r="M1078">
        <v>29.1</v>
      </c>
    </row>
    <row r="1079" spans="1:13">
      <c r="A1079" s="216">
        <v>3236</v>
      </c>
      <c r="H1079" s="238">
        <v>0</v>
      </c>
      <c r="J1079" s="228">
        <v>0</v>
      </c>
      <c r="L1079">
        <v>551</v>
      </c>
      <c r="M1079">
        <v>29.03</v>
      </c>
    </row>
    <row r="1080" spans="1:13">
      <c r="A1080" s="216">
        <v>3252</v>
      </c>
      <c r="H1080" s="238">
        <v>0</v>
      </c>
      <c r="J1080" s="228">
        <v>0</v>
      </c>
      <c r="L1080">
        <v>551</v>
      </c>
      <c r="M1080">
        <v>28.97</v>
      </c>
    </row>
    <row r="1081" spans="1:13">
      <c r="A1081" s="216">
        <v>3259</v>
      </c>
      <c r="H1081" s="238">
        <v>0</v>
      </c>
      <c r="J1081" s="228">
        <v>0</v>
      </c>
      <c r="L1081">
        <v>551</v>
      </c>
      <c r="M1081">
        <v>28.9</v>
      </c>
    </row>
    <row r="1082" spans="1:13">
      <c r="A1082" s="216">
        <v>3260</v>
      </c>
      <c r="H1082" s="238">
        <v>0</v>
      </c>
      <c r="J1082" s="228">
        <v>0</v>
      </c>
      <c r="L1082">
        <v>551</v>
      </c>
      <c r="M1082">
        <v>28.83</v>
      </c>
    </row>
    <row r="1083" spans="1:13">
      <c r="A1083" s="216">
        <v>3264</v>
      </c>
      <c r="H1083" s="238">
        <v>0</v>
      </c>
      <c r="J1083" s="228">
        <v>0</v>
      </c>
      <c r="L1083">
        <v>551</v>
      </c>
      <c r="M1083">
        <v>28.77</v>
      </c>
    </row>
    <row r="1084" spans="1:13">
      <c r="A1084" s="216">
        <v>3265</v>
      </c>
      <c r="C1084">
        <v>-160</v>
      </c>
      <c r="H1084" s="238">
        <v>0</v>
      </c>
      <c r="J1084" s="228">
        <v>0</v>
      </c>
      <c r="L1084">
        <v>551</v>
      </c>
      <c r="M1084">
        <v>28.7</v>
      </c>
    </row>
    <row r="1085" spans="1:13">
      <c r="A1085" s="216">
        <v>3268</v>
      </c>
      <c r="H1085" s="238">
        <v>0</v>
      </c>
      <c r="J1085" s="228">
        <v>0</v>
      </c>
      <c r="L1085">
        <v>551</v>
      </c>
      <c r="M1085">
        <v>28.64</v>
      </c>
    </row>
    <row r="1086" spans="1:13">
      <c r="A1086" s="216">
        <v>3276</v>
      </c>
      <c r="H1086" s="238">
        <v>0</v>
      </c>
      <c r="J1086" s="228">
        <v>0</v>
      </c>
      <c r="L1086">
        <v>551</v>
      </c>
      <c r="M1086">
        <v>28.57</v>
      </c>
    </row>
    <row r="1087" spans="1:13">
      <c r="A1087" s="216">
        <v>3284</v>
      </c>
      <c r="C1087">
        <v>0</v>
      </c>
      <c r="H1087" s="238">
        <v>0</v>
      </c>
      <c r="J1087" s="228">
        <v>0</v>
      </c>
      <c r="L1087">
        <v>551</v>
      </c>
      <c r="M1087">
        <v>28.51</v>
      </c>
    </row>
    <row r="1088" spans="1:13">
      <c r="A1088" s="216">
        <v>3285</v>
      </c>
      <c r="C1088">
        <v>36</v>
      </c>
      <c r="D1088">
        <v>537</v>
      </c>
      <c r="E1088">
        <v>109</v>
      </c>
      <c r="F1088">
        <v>648</v>
      </c>
      <c r="G1088">
        <v>0</v>
      </c>
      <c r="H1088" s="238">
        <v>0</v>
      </c>
      <c r="J1088" s="228">
        <v>0</v>
      </c>
      <c r="L1088">
        <v>551</v>
      </c>
      <c r="M1088">
        <v>28.44</v>
      </c>
    </row>
    <row r="1089" spans="1:13">
      <c r="A1089" s="216">
        <v>3287</v>
      </c>
      <c r="H1089" s="238">
        <v>0</v>
      </c>
      <c r="J1089" s="228">
        <v>0</v>
      </c>
      <c r="L1089">
        <v>551</v>
      </c>
      <c r="M1089">
        <v>28.37</v>
      </c>
    </row>
    <row r="1090" spans="1:13">
      <c r="A1090" s="216">
        <v>3288</v>
      </c>
      <c r="C1090">
        <v>-15</v>
      </c>
      <c r="H1090" s="238">
        <v>0</v>
      </c>
      <c r="J1090" s="228">
        <v>0</v>
      </c>
      <c r="L1090">
        <v>551</v>
      </c>
      <c r="M1090">
        <v>28.31</v>
      </c>
    </row>
    <row r="1091" spans="1:13">
      <c r="A1091" s="216">
        <v>3289</v>
      </c>
      <c r="H1091" s="238">
        <v>0</v>
      </c>
      <c r="J1091" s="228">
        <v>0</v>
      </c>
      <c r="L1091">
        <v>551</v>
      </c>
      <c r="M1091">
        <v>28.24</v>
      </c>
    </row>
    <row r="1092" spans="1:13">
      <c r="A1092" s="216">
        <v>3290</v>
      </c>
      <c r="H1092" s="238">
        <v>0</v>
      </c>
      <c r="J1092" s="228">
        <v>0</v>
      </c>
      <c r="L1092">
        <v>551</v>
      </c>
      <c r="M1092">
        <v>28.18</v>
      </c>
    </row>
    <row r="1093" spans="1:13">
      <c r="A1093" s="216">
        <v>3291</v>
      </c>
      <c r="C1093">
        <v>1</v>
      </c>
      <c r="D1093">
        <v>496</v>
      </c>
      <c r="E1093">
        <v>36</v>
      </c>
      <c r="F1093">
        <v>563</v>
      </c>
      <c r="G1093">
        <v>0</v>
      </c>
      <c r="H1093" s="238">
        <v>0</v>
      </c>
      <c r="J1093" s="228">
        <v>0</v>
      </c>
      <c r="L1093">
        <v>551</v>
      </c>
      <c r="M1093">
        <v>28.11</v>
      </c>
    </row>
    <row r="1094" spans="1:13">
      <c r="A1094" s="216">
        <v>3293</v>
      </c>
      <c r="C1094">
        <v>96</v>
      </c>
      <c r="D1094">
        <v>1246</v>
      </c>
      <c r="E1094">
        <v>1331</v>
      </c>
      <c r="F1094">
        <v>2694</v>
      </c>
      <c r="G1094">
        <v>0</v>
      </c>
      <c r="H1094" s="238">
        <v>0</v>
      </c>
      <c r="J1094" s="228">
        <v>0</v>
      </c>
      <c r="L1094">
        <v>551</v>
      </c>
      <c r="M1094">
        <v>28.04</v>
      </c>
    </row>
    <row r="1095" spans="1:13">
      <c r="A1095" s="216">
        <v>3297</v>
      </c>
      <c r="H1095" s="238">
        <v>0</v>
      </c>
      <c r="J1095" s="228">
        <v>0</v>
      </c>
      <c r="L1095">
        <v>551</v>
      </c>
      <c r="M1095">
        <v>27.98</v>
      </c>
    </row>
    <row r="1096" spans="1:13">
      <c r="A1096" s="216">
        <v>3306</v>
      </c>
      <c r="C1096">
        <v>12</v>
      </c>
      <c r="D1096">
        <v>844</v>
      </c>
      <c r="E1096">
        <v>11</v>
      </c>
      <c r="F1096">
        <v>1412</v>
      </c>
      <c r="G1096">
        <v>0</v>
      </c>
      <c r="H1096" s="238">
        <v>0</v>
      </c>
      <c r="J1096" s="228">
        <v>0</v>
      </c>
      <c r="L1096">
        <v>551</v>
      </c>
      <c r="M1096">
        <v>27.91</v>
      </c>
    </row>
    <row r="1097" spans="1:13">
      <c r="A1097" s="216">
        <v>3310</v>
      </c>
      <c r="H1097" s="238">
        <v>0</v>
      </c>
      <c r="J1097" s="228">
        <v>0</v>
      </c>
      <c r="L1097">
        <v>551</v>
      </c>
      <c r="M1097">
        <v>27.85</v>
      </c>
    </row>
    <row r="1098" spans="1:13">
      <c r="A1098" s="216">
        <v>3313</v>
      </c>
      <c r="H1098" s="238">
        <v>0</v>
      </c>
      <c r="J1098" s="228">
        <v>0</v>
      </c>
      <c r="L1098">
        <v>551</v>
      </c>
      <c r="M1098">
        <v>27.78</v>
      </c>
    </row>
    <row r="1099" spans="1:13">
      <c r="A1099" s="216">
        <v>3317</v>
      </c>
      <c r="C1099">
        <v>-15</v>
      </c>
      <c r="H1099" s="238">
        <v>0</v>
      </c>
      <c r="J1099" s="228">
        <v>0</v>
      </c>
      <c r="L1099">
        <v>551</v>
      </c>
      <c r="M1099">
        <v>27.72</v>
      </c>
    </row>
    <row r="1100" spans="1:13">
      <c r="A1100" s="216">
        <v>3322</v>
      </c>
      <c r="C1100">
        <v>-24</v>
      </c>
      <c r="H1100" s="238">
        <v>0</v>
      </c>
      <c r="J1100" s="228">
        <v>0</v>
      </c>
      <c r="L1100">
        <v>551</v>
      </c>
      <c r="M1100">
        <v>27.65</v>
      </c>
    </row>
    <row r="1101" spans="1:13">
      <c r="A1101" s="216">
        <v>3325</v>
      </c>
      <c r="C1101">
        <v>-7</v>
      </c>
      <c r="H1101" s="238">
        <v>0</v>
      </c>
      <c r="J1101" s="228">
        <v>0</v>
      </c>
      <c r="L1101">
        <v>551</v>
      </c>
      <c r="M1101">
        <v>27.58</v>
      </c>
    </row>
    <row r="1102" spans="1:13">
      <c r="A1102" s="216">
        <v>3332</v>
      </c>
      <c r="H1102" s="238">
        <v>0</v>
      </c>
      <c r="J1102" s="228">
        <v>0</v>
      </c>
      <c r="L1102">
        <v>551</v>
      </c>
      <c r="M1102">
        <v>27.52</v>
      </c>
    </row>
    <row r="1103" spans="1:13">
      <c r="A1103" s="216">
        <v>3339</v>
      </c>
      <c r="H1103" s="238">
        <v>0</v>
      </c>
      <c r="J1103" s="228">
        <v>0</v>
      </c>
      <c r="L1103">
        <v>551</v>
      </c>
      <c r="M1103">
        <v>27.45</v>
      </c>
    </row>
    <row r="1104" spans="1:13">
      <c r="A1104" s="216">
        <v>3354</v>
      </c>
      <c r="H1104" s="238">
        <v>0</v>
      </c>
      <c r="J1104" s="228">
        <v>0</v>
      </c>
      <c r="L1104">
        <v>551</v>
      </c>
      <c r="M1104">
        <v>27.39</v>
      </c>
    </row>
    <row r="1105" spans="1:13">
      <c r="A1105" s="216">
        <v>3360</v>
      </c>
      <c r="H1105" s="238">
        <v>0</v>
      </c>
      <c r="J1105" s="228">
        <v>0</v>
      </c>
      <c r="L1105">
        <v>551</v>
      </c>
      <c r="M1105">
        <v>27.32</v>
      </c>
    </row>
    <row r="1106" spans="1:13">
      <c r="A1106" s="216">
        <v>3362</v>
      </c>
      <c r="H1106" s="238">
        <v>0</v>
      </c>
      <c r="J1106" s="228">
        <v>0</v>
      </c>
      <c r="L1106">
        <v>551</v>
      </c>
      <c r="M1106">
        <v>27.25</v>
      </c>
    </row>
    <row r="1107" spans="1:13">
      <c r="A1107" s="216">
        <v>3363</v>
      </c>
      <c r="C1107">
        <v>-23</v>
      </c>
      <c r="H1107" s="238">
        <v>0</v>
      </c>
      <c r="J1107" s="228">
        <v>0</v>
      </c>
      <c r="L1107">
        <v>551</v>
      </c>
      <c r="M1107">
        <v>27.19</v>
      </c>
    </row>
    <row r="1108" spans="1:13">
      <c r="A1108" s="216">
        <v>3372</v>
      </c>
      <c r="C1108">
        <v>-82</v>
      </c>
      <c r="H1108" s="238">
        <v>0</v>
      </c>
      <c r="J1108" s="228">
        <v>0</v>
      </c>
      <c r="L1108">
        <v>551</v>
      </c>
      <c r="M1108">
        <v>27.12</v>
      </c>
    </row>
    <row r="1109" spans="1:13">
      <c r="A1109" s="216">
        <v>3373</v>
      </c>
      <c r="C1109">
        <v>11</v>
      </c>
      <c r="D1109">
        <v>477</v>
      </c>
      <c r="E1109">
        <v>140</v>
      </c>
      <c r="F1109">
        <v>730</v>
      </c>
      <c r="G1109">
        <v>0</v>
      </c>
      <c r="H1109" s="238">
        <v>0</v>
      </c>
      <c r="J1109" s="228">
        <v>0</v>
      </c>
      <c r="L1109">
        <v>551</v>
      </c>
      <c r="M1109">
        <v>27.06</v>
      </c>
    </row>
    <row r="1110" spans="1:13">
      <c r="A1110" s="216">
        <v>3374</v>
      </c>
      <c r="H1110" s="238">
        <v>0</v>
      </c>
      <c r="J1110" s="228">
        <v>0</v>
      </c>
      <c r="L1110">
        <v>551</v>
      </c>
      <c r="M1110">
        <v>26.99</v>
      </c>
    </row>
    <row r="1111" spans="1:13">
      <c r="A1111" s="216">
        <v>3379</v>
      </c>
      <c r="H1111" s="238">
        <v>0</v>
      </c>
      <c r="J1111" s="228">
        <v>0</v>
      </c>
      <c r="L1111">
        <v>551</v>
      </c>
      <c r="M1111">
        <v>26.93</v>
      </c>
    </row>
    <row r="1112" spans="1:13">
      <c r="A1112" s="216">
        <v>3390</v>
      </c>
      <c r="C1112">
        <v>-19</v>
      </c>
      <c r="H1112" s="238">
        <v>0</v>
      </c>
      <c r="J1112" s="228">
        <v>0</v>
      </c>
      <c r="L1112">
        <v>551</v>
      </c>
      <c r="M1112">
        <v>26.86</v>
      </c>
    </row>
    <row r="1113" spans="1:13">
      <c r="A1113" s="216">
        <v>3402</v>
      </c>
      <c r="H1113" s="238">
        <v>0</v>
      </c>
      <c r="J1113" s="228">
        <v>0</v>
      </c>
      <c r="L1113">
        <v>551</v>
      </c>
      <c r="M1113">
        <v>26.79</v>
      </c>
    </row>
    <row r="1114" spans="1:13">
      <c r="A1114" s="216">
        <v>3431</v>
      </c>
      <c r="H1114" s="238">
        <v>0</v>
      </c>
      <c r="J1114" s="228">
        <v>0</v>
      </c>
      <c r="L1114">
        <v>551</v>
      </c>
      <c r="M1114">
        <v>26.73</v>
      </c>
    </row>
    <row r="1115" spans="1:13">
      <c r="A1115" s="216">
        <v>3434</v>
      </c>
      <c r="H1115" s="238">
        <v>0</v>
      </c>
      <c r="J1115" s="228">
        <v>0</v>
      </c>
      <c r="L1115">
        <v>551</v>
      </c>
      <c r="M1115">
        <v>26.66</v>
      </c>
    </row>
    <row r="1116" spans="1:13">
      <c r="A1116" s="216">
        <v>3438</v>
      </c>
      <c r="C1116">
        <v>-20</v>
      </c>
      <c r="H1116" s="238">
        <v>0</v>
      </c>
      <c r="J1116" s="228">
        <v>0</v>
      </c>
      <c r="L1116">
        <v>551</v>
      </c>
      <c r="M1116">
        <v>26.6</v>
      </c>
    </row>
    <row r="1117" spans="1:13">
      <c r="A1117" s="216">
        <v>3441</v>
      </c>
      <c r="C1117">
        <v>-1</v>
      </c>
      <c r="H1117" s="238">
        <v>0</v>
      </c>
      <c r="J1117" s="228">
        <v>0</v>
      </c>
      <c r="L1117">
        <v>551</v>
      </c>
      <c r="M1117">
        <v>26.53</v>
      </c>
    </row>
    <row r="1118" spans="1:13">
      <c r="A1118" s="216">
        <v>3452</v>
      </c>
      <c r="C1118">
        <v>-215</v>
      </c>
      <c r="H1118" s="238">
        <v>0</v>
      </c>
      <c r="J1118" s="228">
        <v>0</v>
      </c>
      <c r="L1118">
        <v>551</v>
      </c>
      <c r="M1118">
        <v>26.46</v>
      </c>
    </row>
    <row r="1119" spans="1:13">
      <c r="A1119" s="216">
        <v>3455</v>
      </c>
      <c r="H1119" s="238">
        <v>0</v>
      </c>
      <c r="J1119" s="228">
        <v>0</v>
      </c>
      <c r="L1119">
        <v>551</v>
      </c>
      <c r="M1119">
        <v>26.4</v>
      </c>
    </row>
    <row r="1120" spans="1:13">
      <c r="A1120" s="216">
        <v>3465</v>
      </c>
      <c r="C1120">
        <v>-24</v>
      </c>
      <c r="H1120" s="238">
        <v>0</v>
      </c>
      <c r="J1120" s="228">
        <v>0</v>
      </c>
      <c r="L1120">
        <v>551</v>
      </c>
      <c r="M1120">
        <v>26.33</v>
      </c>
    </row>
    <row r="1121" spans="1:13">
      <c r="A1121" s="216">
        <v>3466</v>
      </c>
      <c r="H1121" s="238">
        <v>0</v>
      </c>
      <c r="J1121" s="228">
        <v>0</v>
      </c>
      <c r="L1121">
        <v>551</v>
      </c>
      <c r="M1121">
        <v>26.27</v>
      </c>
    </row>
    <row r="1122" spans="1:13">
      <c r="A1122" s="216">
        <v>3479</v>
      </c>
      <c r="C1122">
        <v>131</v>
      </c>
      <c r="D1122">
        <v>1231</v>
      </c>
      <c r="E1122">
        <v>704</v>
      </c>
      <c r="F1122">
        <v>2057</v>
      </c>
      <c r="G1122">
        <v>0</v>
      </c>
      <c r="H1122" s="238">
        <v>0</v>
      </c>
      <c r="J1122" s="228">
        <v>0</v>
      </c>
      <c r="L1122">
        <v>551</v>
      </c>
      <c r="M1122">
        <v>26.2</v>
      </c>
    </row>
    <row r="1123" spans="1:13">
      <c r="A1123" s="216">
        <v>3483</v>
      </c>
      <c r="C1123">
        <v>-26</v>
      </c>
      <c r="H1123" s="238">
        <v>0</v>
      </c>
      <c r="J1123" s="228">
        <v>0</v>
      </c>
      <c r="L1123">
        <v>551</v>
      </c>
      <c r="M1123">
        <v>26.14</v>
      </c>
    </row>
    <row r="1124" spans="1:13">
      <c r="A1124" s="216">
        <v>3498</v>
      </c>
      <c r="H1124" s="238">
        <v>0</v>
      </c>
      <c r="J1124" s="228">
        <v>0</v>
      </c>
      <c r="L1124">
        <v>551</v>
      </c>
      <c r="M1124">
        <v>26.07</v>
      </c>
    </row>
    <row r="1125" spans="1:13">
      <c r="A1125" s="216">
        <v>3499</v>
      </c>
      <c r="H1125" s="238">
        <v>0</v>
      </c>
      <c r="J1125" s="228">
        <v>0</v>
      </c>
      <c r="L1125">
        <v>551</v>
      </c>
      <c r="M1125">
        <v>26</v>
      </c>
    </row>
    <row r="1126" spans="1:13">
      <c r="A1126" s="216">
        <v>3508</v>
      </c>
      <c r="H1126" s="238">
        <v>0</v>
      </c>
      <c r="J1126" s="228">
        <v>0</v>
      </c>
      <c r="L1126">
        <v>551</v>
      </c>
      <c r="M1126">
        <v>25.94</v>
      </c>
    </row>
    <row r="1127" spans="1:13">
      <c r="A1127" s="216">
        <v>3512</v>
      </c>
      <c r="H1127" s="238">
        <v>0</v>
      </c>
      <c r="J1127" s="228">
        <v>0</v>
      </c>
      <c r="L1127">
        <v>551</v>
      </c>
      <c r="M1127">
        <v>25.87</v>
      </c>
    </row>
    <row r="1128" spans="1:13">
      <c r="A1128" s="216">
        <v>3516</v>
      </c>
      <c r="H1128" s="238">
        <v>0</v>
      </c>
      <c r="J1128" s="228">
        <v>0</v>
      </c>
      <c r="L1128">
        <v>551</v>
      </c>
      <c r="M1128">
        <v>25.81</v>
      </c>
    </row>
    <row r="1129" spans="1:13">
      <c r="A1129" s="216">
        <v>3520</v>
      </c>
      <c r="H1129" s="238">
        <v>0</v>
      </c>
      <c r="J1129" s="228">
        <v>0</v>
      </c>
      <c r="L1129">
        <v>551</v>
      </c>
      <c r="M1129">
        <v>25.74</v>
      </c>
    </row>
    <row r="1130" spans="1:13">
      <c r="A1130" s="216">
        <v>3522</v>
      </c>
      <c r="H1130" s="238">
        <v>0</v>
      </c>
      <c r="J1130" s="228">
        <v>0</v>
      </c>
      <c r="L1130">
        <v>551</v>
      </c>
      <c r="M1130">
        <v>25.67</v>
      </c>
    </row>
    <row r="1131" spans="1:13">
      <c r="A1131" s="216">
        <v>3523</v>
      </c>
      <c r="H1131" s="238">
        <v>0</v>
      </c>
      <c r="J1131" s="228">
        <v>0</v>
      </c>
      <c r="L1131">
        <v>551</v>
      </c>
      <c r="M1131">
        <v>25.61</v>
      </c>
    </row>
    <row r="1132" spans="1:13">
      <c r="A1132" s="216">
        <v>3526</v>
      </c>
      <c r="H1132" s="238">
        <v>0</v>
      </c>
      <c r="J1132" s="228">
        <v>0</v>
      </c>
      <c r="L1132">
        <v>551</v>
      </c>
      <c r="M1132">
        <v>25.54</v>
      </c>
    </row>
    <row r="1133" spans="1:13">
      <c r="A1133" s="216">
        <v>3527</v>
      </c>
      <c r="H1133" s="238">
        <v>0</v>
      </c>
      <c r="J1133" s="228">
        <v>0</v>
      </c>
      <c r="L1133">
        <v>551</v>
      </c>
      <c r="M1133">
        <v>25.48</v>
      </c>
    </row>
    <row r="1134" spans="1:13">
      <c r="A1134" s="216">
        <v>3529</v>
      </c>
      <c r="C1134">
        <v>107</v>
      </c>
      <c r="D1134">
        <v>1055</v>
      </c>
      <c r="E1134">
        <v>490</v>
      </c>
      <c r="F1134">
        <v>1692</v>
      </c>
      <c r="G1134">
        <v>0</v>
      </c>
      <c r="H1134" s="238">
        <v>0</v>
      </c>
      <c r="J1134" s="228">
        <v>0</v>
      </c>
      <c r="L1134">
        <v>551</v>
      </c>
      <c r="M1134">
        <v>25.41</v>
      </c>
    </row>
    <row r="1135" spans="1:13">
      <c r="A1135" s="216">
        <v>3537</v>
      </c>
      <c r="H1135" s="238">
        <v>0</v>
      </c>
      <c r="J1135" s="228">
        <v>0</v>
      </c>
      <c r="L1135">
        <v>551</v>
      </c>
      <c r="M1135">
        <v>25.35</v>
      </c>
    </row>
    <row r="1136" spans="1:13">
      <c r="A1136" s="216">
        <v>3546</v>
      </c>
      <c r="C1136">
        <v>-3</v>
      </c>
      <c r="H1136" s="238">
        <v>0</v>
      </c>
      <c r="J1136" s="228">
        <v>0</v>
      </c>
      <c r="L1136">
        <v>551</v>
      </c>
      <c r="M1136">
        <v>25.28</v>
      </c>
    </row>
    <row r="1137" spans="1:13">
      <c r="A1137" s="216">
        <v>3552</v>
      </c>
      <c r="H1137" s="238">
        <v>0</v>
      </c>
      <c r="J1137" s="228">
        <v>0</v>
      </c>
      <c r="L1137">
        <v>551</v>
      </c>
      <c r="M1137">
        <v>25.21</v>
      </c>
    </row>
    <row r="1138" spans="1:13">
      <c r="A1138" s="216">
        <v>3553</v>
      </c>
      <c r="C1138">
        <v>-27</v>
      </c>
      <c r="H1138" s="238">
        <v>0</v>
      </c>
      <c r="J1138" s="228">
        <v>0</v>
      </c>
      <c r="L1138">
        <v>551</v>
      </c>
      <c r="M1138">
        <v>25.15</v>
      </c>
    </row>
    <row r="1139" spans="1:13">
      <c r="A1139" s="216">
        <v>3555</v>
      </c>
      <c r="C1139">
        <v>-67</v>
      </c>
      <c r="H1139" s="238">
        <v>0</v>
      </c>
      <c r="J1139" s="228">
        <v>0</v>
      </c>
      <c r="L1139">
        <v>551</v>
      </c>
      <c r="M1139">
        <v>25.08</v>
      </c>
    </row>
    <row r="1140" spans="1:13">
      <c r="A1140" s="216">
        <v>3562</v>
      </c>
      <c r="H1140" s="238">
        <v>0</v>
      </c>
      <c r="J1140" s="228">
        <v>0</v>
      </c>
      <c r="L1140">
        <v>551</v>
      </c>
      <c r="M1140">
        <v>25.02</v>
      </c>
    </row>
    <row r="1141" spans="1:13">
      <c r="A1141" s="216">
        <v>3563</v>
      </c>
      <c r="C1141">
        <v>54</v>
      </c>
      <c r="D1141">
        <v>757</v>
      </c>
      <c r="E1141">
        <v>225</v>
      </c>
      <c r="F1141">
        <v>1028</v>
      </c>
      <c r="G1141">
        <v>0</v>
      </c>
      <c r="H1141" s="238">
        <v>0</v>
      </c>
      <c r="J1141" s="228">
        <v>0</v>
      </c>
      <c r="L1141">
        <v>551</v>
      </c>
      <c r="M1141">
        <v>24.95</v>
      </c>
    </row>
    <row r="1142" spans="1:13">
      <c r="A1142" s="216">
        <v>3570</v>
      </c>
      <c r="C1142">
        <v>28</v>
      </c>
      <c r="D1142">
        <v>485</v>
      </c>
      <c r="E1142">
        <v>22</v>
      </c>
      <c r="F1142">
        <v>534</v>
      </c>
      <c r="G1142">
        <v>0</v>
      </c>
      <c r="H1142" s="238">
        <v>0</v>
      </c>
      <c r="J1142" s="228">
        <v>0</v>
      </c>
      <c r="L1142">
        <v>551</v>
      </c>
      <c r="M1142">
        <v>24.88</v>
      </c>
    </row>
    <row r="1143" spans="1:13">
      <c r="A1143" s="216">
        <v>3580</v>
      </c>
      <c r="H1143" s="238">
        <v>0</v>
      </c>
      <c r="J1143" s="228">
        <v>0</v>
      </c>
      <c r="L1143">
        <v>551</v>
      </c>
      <c r="M1143">
        <v>24.82</v>
      </c>
    </row>
    <row r="1144" spans="1:13">
      <c r="A1144" s="216">
        <v>3581</v>
      </c>
      <c r="H1144" s="238">
        <v>0</v>
      </c>
      <c r="J1144" s="228">
        <v>0</v>
      </c>
      <c r="L1144">
        <v>551</v>
      </c>
      <c r="M1144">
        <v>24.75</v>
      </c>
    </row>
    <row r="1145" spans="1:13">
      <c r="A1145" s="216">
        <v>3587</v>
      </c>
      <c r="C1145">
        <v>69</v>
      </c>
      <c r="D1145">
        <v>341</v>
      </c>
      <c r="E1145">
        <v>806</v>
      </c>
      <c r="F1145">
        <v>1189</v>
      </c>
      <c r="G1145">
        <v>0</v>
      </c>
      <c r="H1145" s="238">
        <v>0</v>
      </c>
      <c r="J1145" s="228">
        <v>0</v>
      </c>
      <c r="L1145">
        <v>551</v>
      </c>
      <c r="M1145">
        <v>24.69</v>
      </c>
    </row>
    <row r="1146" spans="1:13">
      <c r="A1146" s="216">
        <v>3594</v>
      </c>
      <c r="H1146" s="238">
        <v>0</v>
      </c>
      <c r="J1146" s="228">
        <v>0</v>
      </c>
      <c r="L1146">
        <v>551</v>
      </c>
      <c r="M1146">
        <v>24.62</v>
      </c>
    </row>
    <row r="1147" spans="1:13">
      <c r="A1147" s="216">
        <v>3609</v>
      </c>
      <c r="C1147">
        <v>-8</v>
      </c>
      <c r="H1147" s="238">
        <v>0</v>
      </c>
      <c r="J1147" s="228">
        <v>0</v>
      </c>
      <c r="L1147">
        <v>551</v>
      </c>
      <c r="M1147">
        <v>24.56</v>
      </c>
    </row>
    <row r="1148" spans="1:13">
      <c r="A1148" s="216">
        <v>3615</v>
      </c>
      <c r="H1148" s="238">
        <v>0</v>
      </c>
      <c r="J1148" s="228">
        <v>0</v>
      </c>
      <c r="L1148">
        <v>551</v>
      </c>
      <c r="M1148">
        <v>24.49</v>
      </c>
    </row>
    <row r="1149" spans="1:13">
      <c r="A1149" s="216">
        <v>3623</v>
      </c>
      <c r="C1149">
        <v>63</v>
      </c>
      <c r="D1149">
        <v>712</v>
      </c>
      <c r="E1149">
        <v>133</v>
      </c>
      <c r="F1149">
        <v>855</v>
      </c>
      <c r="G1149">
        <v>0</v>
      </c>
      <c r="H1149" s="238">
        <v>0</v>
      </c>
      <c r="J1149" s="228">
        <v>0</v>
      </c>
      <c r="L1149">
        <v>551</v>
      </c>
      <c r="M1149">
        <v>24.42</v>
      </c>
    </row>
    <row r="1150" spans="1:13">
      <c r="A1150" s="216">
        <v>3625</v>
      </c>
      <c r="C1150">
        <v>-5</v>
      </c>
      <c r="H1150" s="238">
        <v>0</v>
      </c>
      <c r="J1150" s="228">
        <v>0</v>
      </c>
      <c r="L1150">
        <v>551</v>
      </c>
      <c r="M1150">
        <v>24.36</v>
      </c>
    </row>
    <row r="1151" spans="1:13">
      <c r="A1151" s="216">
        <v>3629</v>
      </c>
      <c r="C1151">
        <v>-20</v>
      </c>
      <c r="H1151" s="238">
        <v>0</v>
      </c>
      <c r="J1151" s="228">
        <v>0</v>
      </c>
      <c r="L1151">
        <v>551</v>
      </c>
      <c r="M1151">
        <v>24.29</v>
      </c>
    </row>
    <row r="1152" spans="1:13">
      <c r="A1152" s="216">
        <v>3630</v>
      </c>
      <c r="C1152">
        <v>-178</v>
      </c>
      <c r="H1152" s="238">
        <v>0</v>
      </c>
      <c r="J1152" s="228">
        <v>0</v>
      </c>
      <c r="L1152">
        <v>551</v>
      </c>
      <c r="M1152">
        <v>24.23</v>
      </c>
    </row>
    <row r="1153" spans="1:13">
      <c r="A1153" s="216">
        <v>3631</v>
      </c>
      <c r="C1153">
        <v>0</v>
      </c>
      <c r="H1153" s="238">
        <v>0</v>
      </c>
      <c r="J1153" s="228">
        <v>0</v>
      </c>
      <c r="L1153">
        <v>551</v>
      </c>
      <c r="M1153">
        <v>24.16</v>
      </c>
    </row>
    <row r="1154" spans="1:13">
      <c r="A1154" s="216">
        <v>3642</v>
      </c>
      <c r="H1154" s="238">
        <v>0</v>
      </c>
      <c r="J1154" s="228">
        <v>0</v>
      </c>
      <c r="L1154">
        <v>551</v>
      </c>
      <c r="M1154">
        <v>24.09</v>
      </c>
    </row>
    <row r="1155" spans="1:13">
      <c r="A1155" s="216">
        <v>3646</v>
      </c>
      <c r="C1155">
        <v>1</v>
      </c>
      <c r="D1155">
        <v>363</v>
      </c>
      <c r="E1155">
        <v>104</v>
      </c>
      <c r="F1155">
        <v>504</v>
      </c>
      <c r="G1155">
        <v>70</v>
      </c>
      <c r="H1155" s="238">
        <v>0</v>
      </c>
      <c r="J1155" s="228">
        <v>0</v>
      </c>
      <c r="L1155">
        <v>551</v>
      </c>
      <c r="M1155">
        <v>24.03</v>
      </c>
    </row>
    <row r="1156" spans="1:13">
      <c r="A1156" s="216">
        <v>3652</v>
      </c>
      <c r="C1156">
        <v>5</v>
      </c>
      <c r="D1156">
        <v>709</v>
      </c>
      <c r="E1156">
        <v>351</v>
      </c>
      <c r="F1156">
        <v>1126</v>
      </c>
      <c r="G1156">
        <v>42</v>
      </c>
      <c r="H1156" s="238">
        <v>0</v>
      </c>
      <c r="J1156" s="228">
        <v>0</v>
      </c>
      <c r="L1156">
        <v>551</v>
      </c>
      <c r="M1156">
        <v>23.96</v>
      </c>
    </row>
    <row r="1157" spans="1:13">
      <c r="A1157" s="216">
        <v>3658</v>
      </c>
      <c r="C1157">
        <v>242</v>
      </c>
      <c r="D1157">
        <v>10864</v>
      </c>
      <c r="E1157">
        <v>958</v>
      </c>
      <c r="F1157">
        <v>11944</v>
      </c>
      <c r="G1157">
        <v>0</v>
      </c>
      <c r="H1157" s="238">
        <v>0</v>
      </c>
      <c r="J1157" s="228">
        <v>0</v>
      </c>
      <c r="L1157">
        <v>551</v>
      </c>
      <c r="M1157">
        <v>23.9</v>
      </c>
    </row>
    <row r="1158" spans="1:13">
      <c r="A1158" s="216">
        <v>3663</v>
      </c>
      <c r="H1158" s="238">
        <v>0</v>
      </c>
      <c r="J1158" s="228">
        <v>0</v>
      </c>
      <c r="L1158">
        <v>551</v>
      </c>
      <c r="M1158">
        <v>23.83</v>
      </c>
    </row>
    <row r="1159" spans="1:13">
      <c r="A1159" s="216">
        <v>3664</v>
      </c>
      <c r="C1159">
        <v>-53</v>
      </c>
      <c r="H1159" s="238">
        <v>0</v>
      </c>
      <c r="J1159" s="228">
        <v>0</v>
      </c>
      <c r="L1159">
        <v>551</v>
      </c>
      <c r="M1159">
        <v>23.77</v>
      </c>
    </row>
    <row r="1160" spans="1:13">
      <c r="A1160" s="216">
        <v>3666</v>
      </c>
      <c r="C1160">
        <v>-7</v>
      </c>
      <c r="H1160" s="238">
        <v>0</v>
      </c>
      <c r="J1160" s="228">
        <v>0</v>
      </c>
      <c r="L1160">
        <v>551</v>
      </c>
      <c r="M1160">
        <v>23.7</v>
      </c>
    </row>
    <row r="1161" spans="1:13">
      <c r="A1161" s="216">
        <v>3684</v>
      </c>
      <c r="H1161" s="238">
        <v>0</v>
      </c>
      <c r="J1161" s="228">
        <v>0</v>
      </c>
      <c r="L1161">
        <v>551</v>
      </c>
      <c r="M1161">
        <v>23.63</v>
      </c>
    </row>
    <row r="1162" spans="1:13">
      <c r="A1162" s="216">
        <v>3687</v>
      </c>
      <c r="C1162">
        <v>-32</v>
      </c>
      <c r="H1162" s="238">
        <v>0</v>
      </c>
      <c r="J1162" s="228">
        <v>0</v>
      </c>
      <c r="L1162">
        <v>551</v>
      </c>
      <c r="M1162">
        <v>23.57</v>
      </c>
    </row>
    <row r="1163" spans="1:13">
      <c r="A1163" s="216">
        <v>3693</v>
      </c>
      <c r="H1163" s="238">
        <v>0</v>
      </c>
      <c r="J1163" s="228">
        <v>0</v>
      </c>
      <c r="L1163">
        <v>551</v>
      </c>
      <c r="M1163">
        <v>23.5</v>
      </c>
    </row>
    <row r="1164" spans="1:13">
      <c r="A1164" s="216">
        <v>3707</v>
      </c>
      <c r="C1164">
        <v>-173</v>
      </c>
      <c r="H1164" s="238">
        <v>0</v>
      </c>
      <c r="J1164" s="228">
        <v>0</v>
      </c>
      <c r="L1164">
        <v>551</v>
      </c>
      <c r="M1164">
        <v>23.44</v>
      </c>
    </row>
    <row r="1165" spans="1:13">
      <c r="A1165" s="216">
        <v>4102</v>
      </c>
      <c r="C1165">
        <v>0</v>
      </c>
      <c r="H1165" s="238">
        <v>0</v>
      </c>
      <c r="J1165" s="228">
        <v>0</v>
      </c>
      <c r="L1165">
        <v>551</v>
      </c>
      <c r="M1165">
        <v>23.37</v>
      </c>
    </row>
    <row r="1166" spans="1:13">
      <c r="A1166" s="216">
        <v>4103</v>
      </c>
      <c r="C1166">
        <v>294</v>
      </c>
      <c r="D1166">
        <v>2994</v>
      </c>
      <c r="E1166">
        <v>298</v>
      </c>
      <c r="F1166">
        <v>3287</v>
      </c>
      <c r="G1166">
        <v>0</v>
      </c>
      <c r="H1166" s="238">
        <v>0</v>
      </c>
      <c r="J1166" s="228">
        <v>0</v>
      </c>
      <c r="L1166">
        <v>551</v>
      </c>
      <c r="M1166">
        <v>23.3</v>
      </c>
    </row>
    <row r="1167" spans="1:13">
      <c r="A1167" s="216">
        <v>4105</v>
      </c>
      <c r="H1167" s="238">
        <v>0</v>
      </c>
      <c r="J1167" s="228">
        <v>0</v>
      </c>
      <c r="L1167">
        <v>551</v>
      </c>
      <c r="M1167">
        <v>23.24</v>
      </c>
    </row>
    <row r="1168" spans="1:13">
      <c r="A1168" s="216">
        <v>4109</v>
      </c>
      <c r="H1168" s="238">
        <v>0</v>
      </c>
      <c r="J1168" s="228">
        <v>0</v>
      </c>
      <c r="L1168">
        <v>551</v>
      </c>
      <c r="M1168">
        <v>23.17</v>
      </c>
    </row>
    <row r="1169" spans="1:13">
      <c r="A1169" s="216">
        <v>4111</v>
      </c>
      <c r="H1169" s="238">
        <v>0</v>
      </c>
      <c r="J1169" s="228">
        <v>0</v>
      </c>
      <c r="L1169">
        <v>551</v>
      </c>
      <c r="M1169">
        <v>23.11</v>
      </c>
    </row>
    <row r="1170" spans="1:13">
      <c r="A1170" s="216">
        <v>4113</v>
      </c>
      <c r="C1170">
        <v>13</v>
      </c>
      <c r="D1170">
        <v>3556</v>
      </c>
      <c r="E1170">
        <v>9</v>
      </c>
      <c r="F1170">
        <v>3595</v>
      </c>
      <c r="G1170">
        <v>2519</v>
      </c>
      <c r="H1170" s="238">
        <v>0</v>
      </c>
      <c r="J1170" s="228">
        <v>0</v>
      </c>
      <c r="L1170">
        <v>551</v>
      </c>
      <c r="M1170">
        <v>23.04</v>
      </c>
    </row>
    <row r="1171" spans="1:13">
      <c r="A1171" s="216">
        <v>4114</v>
      </c>
      <c r="C1171">
        <v>9</v>
      </c>
      <c r="D1171">
        <v>480</v>
      </c>
      <c r="E1171">
        <v>2187</v>
      </c>
      <c r="F1171">
        <v>3065</v>
      </c>
      <c r="G1171">
        <v>341</v>
      </c>
      <c r="H1171" s="238">
        <v>0</v>
      </c>
      <c r="J1171" s="228">
        <v>0</v>
      </c>
      <c r="L1171">
        <v>551</v>
      </c>
      <c r="M1171">
        <v>22.98</v>
      </c>
    </row>
    <row r="1172" spans="1:13">
      <c r="A1172" s="216">
        <v>4120</v>
      </c>
      <c r="H1172" s="238">
        <v>0</v>
      </c>
      <c r="J1172" s="228">
        <v>0</v>
      </c>
      <c r="L1172">
        <v>551</v>
      </c>
      <c r="M1172">
        <v>22.91</v>
      </c>
    </row>
    <row r="1173" spans="1:13">
      <c r="A1173" s="216">
        <v>4121</v>
      </c>
      <c r="C1173">
        <v>-25</v>
      </c>
      <c r="H1173" s="238">
        <v>0</v>
      </c>
      <c r="J1173" s="228">
        <v>0</v>
      </c>
      <c r="L1173">
        <v>551</v>
      </c>
      <c r="M1173">
        <v>22.84</v>
      </c>
    </row>
    <row r="1174" spans="1:13">
      <c r="A1174" s="216">
        <v>4123</v>
      </c>
      <c r="C1174">
        <v>18</v>
      </c>
      <c r="D1174">
        <v>3409</v>
      </c>
      <c r="E1174">
        <v>3830</v>
      </c>
      <c r="F1174">
        <v>12246</v>
      </c>
      <c r="G1174">
        <v>6999</v>
      </c>
      <c r="H1174" s="238">
        <v>0</v>
      </c>
      <c r="J1174" s="228">
        <v>0</v>
      </c>
      <c r="L1174">
        <v>551</v>
      </c>
      <c r="M1174">
        <v>22.78</v>
      </c>
    </row>
    <row r="1175" spans="1:13">
      <c r="A1175" s="216">
        <v>4126</v>
      </c>
      <c r="H1175" s="238">
        <v>0</v>
      </c>
      <c r="J1175" s="228">
        <v>0</v>
      </c>
      <c r="L1175">
        <v>551</v>
      </c>
      <c r="M1175">
        <v>22.71</v>
      </c>
    </row>
    <row r="1176" spans="1:13">
      <c r="A1176" s="216">
        <v>4128</v>
      </c>
      <c r="C1176">
        <v>-95</v>
      </c>
      <c r="H1176" s="238">
        <v>0</v>
      </c>
      <c r="J1176" s="228">
        <v>0</v>
      </c>
      <c r="L1176">
        <v>551</v>
      </c>
      <c r="M1176">
        <v>22.65</v>
      </c>
    </row>
    <row r="1177" spans="1:13">
      <c r="A1177" s="216">
        <v>4130</v>
      </c>
      <c r="C1177">
        <v>21</v>
      </c>
      <c r="D1177">
        <v>848</v>
      </c>
      <c r="E1177">
        <v>389</v>
      </c>
      <c r="F1177">
        <v>1337</v>
      </c>
      <c r="G1177">
        <v>0</v>
      </c>
      <c r="H1177" s="238">
        <v>0</v>
      </c>
      <c r="J1177" s="228">
        <v>0</v>
      </c>
      <c r="L1177">
        <v>551</v>
      </c>
      <c r="M1177">
        <v>22.58</v>
      </c>
    </row>
    <row r="1178" spans="1:13">
      <c r="A1178" s="216">
        <v>4131</v>
      </c>
      <c r="H1178" s="238">
        <v>0</v>
      </c>
      <c r="J1178" s="228">
        <v>0</v>
      </c>
      <c r="L1178">
        <v>551</v>
      </c>
      <c r="M1178">
        <v>22.51</v>
      </c>
    </row>
    <row r="1179" spans="1:13">
      <c r="A1179" s="216">
        <v>4138</v>
      </c>
      <c r="C1179">
        <v>32</v>
      </c>
      <c r="D1179">
        <v>1147</v>
      </c>
      <c r="E1179">
        <v>81</v>
      </c>
      <c r="F1179">
        <v>1361</v>
      </c>
      <c r="G1179">
        <v>0</v>
      </c>
      <c r="H1179" s="238">
        <v>0</v>
      </c>
      <c r="J1179" s="228">
        <v>0</v>
      </c>
      <c r="L1179">
        <v>551</v>
      </c>
      <c r="M1179">
        <v>22.45</v>
      </c>
    </row>
    <row r="1180" spans="1:13">
      <c r="A1180" s="216">
        <v>4139</v>
      </c>
      <c r="C1180">
        <v>-6</v>
      </c>
      <c r="H1180" s="238">
        <v>0</v>
      </c>
      <c r="J1180" s="228">
        <v>0</v>
      </c>
      <c r="L1180">
        <v>551</v>
      </c>
      <c r="M1180">
        <v>22.38</v>
      </c>
    </row>
    <row r="1181" spans="1:13">
      <c r="A1181" s="216">
        <v>4152</v>
      </c>
      <c r="C1181">
        <v>-195</v>
      </c>
      <c r="H1181" s="238">
        <v>0</v>
      </c>
      <c r="J1181" s="228">
        <v>0</v>
      </c>
      <c r="L1181">
        <v>551</v>
      </c>
      <c r="M1181">
        <v>22.32</v>
      </c>
    </row>
    <row r="1182" spans="1:13">
      <c r="A1182" s="216">
        <v>4153</v>
      </c>
      <c r="H1182" s="238">
        <v>0</v>
      </c>
      <c r="J1182" s="228">
        <v>0</v>
      </c>
      <c r="L1182">
        <v>551</v>
      </c>
      <c r="M1182">
        <v>22.25</v>
      </c>
    </row>
    <row r="1183" spans="1:13">
      <c r="A1183" s="216">
        <v>4154</v>
      </c>
      <c r="H1183" s="238">
        <v>0</v>
      </c>
      <c r="J1183" s="228">
        <v>0</v>
      </c>
      <c r="L1183">
        <v>551</v>
      </c>
      <c r="M1183">
        <v>22.19</v>
      </c>
    </row>
    <row r="1184" spans="1:13">
      <c r="A1184" s="216">
        <v>4157</v>
      </c>
      <c r="H1184" s="238">
        <v>0</v>
      </c>
      <c r="J1184" s="228">
        <v>0</v>
      </c>
      <c r="L1184">
        <v>551</v>
      </c>
      <c r="M1184">
        <v>22.12</v>
      </c>
    </row>
    <row r="1185" spans="1:13">
      <c r="A1185" s="216">
        <v>4160</v>
      </c>
      <c r="H1185" s="238">
        <v>0</v>
      </c>
      <c r="J1185" s="228">
        <v>0</v>
      </c>
      <c r="L1185">
        <v>551</v>
      </c>
      <c r="M1185">
        <v>22.05</v>
      </c>
    </row>
    <row r="1186" spans="1:13">
      <c r="A1186" s="216">
        <v>4161</v>
      </c>
      <c r="H1186" s="238">
        <v>0</v>
      </c>
      <c r="J1186" s="228">
        <v>0</v>
      </c>
      <c r="L1186">
        <v>551</v>
      </c>
      <c r="M1186">
        <v>21.99</v>
      </c>
    </row>
    <row r="1187" spans="1:13">
      <c r="A1187" s="216">
        <v>4162</v>
      </c>
      <c r="C1187">
        <v>-38</v>
      </c>
      <c r="H1187" s="238">
        <v>0</v>
      </c>
      <c r="J1187" s="228">
        <v>0</v>
      </c>
      <c r="L1187">
        <v>551</v>
      </c>
      <c r="M1187">
        <v>21.92</v>
      </c>
    </row>
    <row r="1188" spans="1:13">
      <c r="A1188" s="216">
        <v>4167</v>
      </c>
      <c r="C1188">
        <v>-100</v>
      </c>
      <c r="H1188" s="238">
        <v>0</v>
      </c>
      <c r="J1188" s="228">
        <v>0</v>
      </c>
      <c r="L1188">
        <v>551</v>
      </c>
      <c r="M1188">
        <v>21.86</v>
      </c>
    </row>
    <row r="1189" spans="1:13">
      <c r="A1189" s="216">
        <v>4168</v>
      </c>
      <c r="C1189">
        <v>-25</v>
      </c>
      <c r="H1189" s="238">
        <v>0</v>
      </c>
      <c r="J1189" s="228">
        <v>0</v>
      </c>
      <c r="L1189">
        <v>551</v>
      </c>
      <c r="M1189">
        <v>21.79</v>
      </c>
    </row>
    <row r="1190" spans="1:13">
      <c r="A1190" s="216">
        <v>4171</v>
      </c>
      <c r="C1190">
        <v>-3</v>
      </c>
      <c r="H1190" s="238">
        <v>0</v>
      </c>
      <c r="J1190" s="228">
        <v>0</v>
      </c>
      <c r="L1190">
        <v>551</v>
      </c>
      <c r="M1190">
        <v>21.72</v>
      </c>
    </row>
    <row r="1191" spans="1:13">
      <c r="A1191" s="216">
        <v>4174</v>
      </c>
      <c r="C1191">
        <v>-230</v>
      </c>
      <c r="H1191" s="238">
        <v>0</v>
      </c>
      <c r="J1191" s="228">
        <v>0</v>
      </c>
      <c r="L1191">
        <v>551</v>
      </c>
      <c r="M1191">
        <v>21.66</v>
      </c>
    </row>
    <row r="1192" spans="1:13">
      <c r="A1192" s="216">
        <v>4180</v>
      </c>
      <c r="H1192" s="238">
        <v>0</v>
      </c>
      <c r="J1192" s="228">
        <v>0</v>
      </c>
      <c r="L1192">
        <v>551</v>
      </c>
      <c r="M1192">
        <v>21.59</v>
      </c>
    </row>
    <row r="1193" spans="1:13">
      <c r="A1193" s="216">
        <v>4188</v>
      </c>
      <c r="C1193">
        <v>-15</v>
      </c>
      <c r="H1193" s="238">
        <v>0</v>
      </c>
      <c r="J1193" s="228">
        <v>0</v>
      </c>
      <c r="L1193">
        <v>551</v>
      </c>
      <c r="M1193">
        <v>21.53</v>
      </c>
    </row>
    <row r="1194" spans="1:13">
      <c r="A1194" s="216">
        <v>4192</v>
      </c>
      <c r="H1194" s="238">
        <v>0</v>
      </c>
      <c r="J1194" s="228">
        <v>0</v>
      </c>
      <c r="L1194">
        <v>551</v>
      </c>
      <c r="M1194">
        <v>21.46</v>
      </c>
    </row>
    <row r="1195" spans="1:13">
      <c r="A1195" s="216">
        <v>4198</v>
      </c>
      <c r="H1195" s="238">
        <v>0</v>
      </c>
      <c r="J1195" s="228">
        <v>0</v>
      </c>
      <c r="L1195">
        <v>551</v>
      </c>
      <c r="M1195">
        <v>21.4</v>
      </c>
    </row>
    <row r="1196" spans="1:13">
      <c r="A1196" s="216">
        <v>4205</v>
      </c>
      <c r="C1196">
        <v>70</v>
      </c>
      <c r="D1196">
        <v>557</v>
      </c>
      <c r="E1196">
        <v>680</v>
      </c>
      <c r="F1196">
        <v>1186</v>
      </c>
      <c r="G1196">
        <v>0</v>
      </c>
      <c r="H1196" s="238">
        <v>0</v>
      </c>
      <c r="J1196" s="228">
        <v>0</v>
      </c>
      <c r="L1196">
        <v>551</v>
      </c>
      <c r="M1196">
        <v>21.33</v>
      </c>
    </row>
    <row r="1197" spans="1:13">
      <c r="A1197" s="216">
        <v>4207</v>
      </c>
      <c r="H1197" s="238">
        <v>0</v>
      </c>
      <c r="J1197" s="228">
        <v>0</v>
      </c>
      <c r="L1197">
        <v>551</v>
      </c>
      <c r="M1197">
        <v>21.26</v>
      </c>
    </row>
    <row r="1198" spans="1:13">
      <c r="A1198" s="216">
        <v>4303</v>
      </c>
      <c r="H1198" s="238">
        <v>0</v>
      </c>
      <c r="J1198" s="228">
        <v>0</v>
      </c>
      <c r="L1198">
        <v>551</v>
      </c>
      <c r="M1198">
        <v>21.2</v>
      </c>
    </row>
    <row r="1199" spans="1:13">
      <c r="A1199" s="216">
        <v>4304</v>
      </c>
      <c r="H1199" s="238">
        <v>0</v>
      </c>
      <c r="J1199" s="228">
        <v>0</v>
      </c>
      <c r="L1199">
        <v>551</v>
      </c>
      <c r="M1199">
        <v>21.13</v>
      </c>
    </row>
    <row r="1200" spans="1:13">
      <c r="A1200" s="216">
        <v>4305</v>
      </c>
      <c r="H1200" s="238">
        <v>0</v>
      </c>
      <c r="J1200" s="228">
        <v>0</v>
      </c>
      <c r="L1200">
        <v>551</v>
      </c>
      <c r="M1200">
        <v>21.07</v>
      </c>
    </row>
    <row r="1201" spans="1:13">
      <c r="A1201" s="216">
        <v>4402</v>
      </c>
      <c r="H1201" s="238">
        <v>0</v>
      </c>
      <c r="J1201" s="228">
        <v>0</v>
      </c>
      <c r="L1201">
        <v>551</v>
      </c>
      <c r="M1201">
        <v>21</v>
      </c>
    </row>
    <row r="1202" spans="1:13">
      <c r="A1202" s="216">
        <v>4406</v>
      </c>
      <c r="C1202">
        <v>-4</v>
      </c>
      <c r="H1202" s="238">
        <v>0</v>
      </c>
      <c r="J1202" s="228">
        <v>0</v>
      </c>
      <c r="L1202">
        <v>551</v>
      </c>
      <c r="M1202">
        <v>20.93</v>
      </c>
    </row>
    <row r="1203" spans="1:13">
      <c r="A1203" s="216">
        <v>4413</v>
      </c>
      <c r="C1203">
        <v>8</v>
      </c>
      <c r="D1203">
        <v>43</v>
      </c>
      <c r="E1203">
        <v>2</v>
      </c>
      <c r="F1203">
        <v>36</v>
      </c>
      <c r="G1203">
        <v>0</v>
      </c>
      <c r="H1203" s="238">
        <v>0</v>
      </c>
      <c r="J1203" s="228">
        <v>0</v>
      </c>
      <c r="L1203">
        <v>551</v>
      </c>
      <c r="M1203">
        <v>20.87</v>
      </c>
    </row>
    <row r="1204" spans="1:13">
      <c r="A1204" s="216">
        <v>4415</v>
      </c>
      <c r="H1204" s="238">
        <v>0</v>
      </c>
      <c r="J1204" s="228">
        <v>0</v>
      </c>
      <c r="L1204">
        <v>551</v>
      </c>
      <c r="M1204">
        <v>20.8</v>
      </c>
    </row>
    <row r="1205" spans="1:13">
      <c r="A1205" s="216">
        <v>4416</v>
      </c>
      <c r="C1205">
        <v>10</v>
      </c>
      <c r="D1205">
        <v>2293</v>
      </c>
      <c r="E1205">
        <v>4</v>
      </c>
      <c r="F1205">
        <v>4106</v>
      </c>
      <c r="G1205">
        <v>1458</v>
      </c>
      <c r="H1205" s="238">
        <v>0</v>
      </c>
      <c r="J1205" s="228">
        <v>0</v>
      </c>
      <c r="L1205">
        <v>551</v>
      </c>
      <c r="M1205">
        <v>20.74</v>
      </c>
    </row>
    <row r="1206" spans="1:13">
      <c r="A1206" s="216">
        <v>4419</v>
      </c>
      <c r="H1206" s="238">
        <v>0</v>
      </c>
      <c r="J1206" s="228">
        <v>0</v>
      </c>
      <c r="L1206">
        <v>551</v>
      </c>
      <c r="M1206">
        <v>20.67</v>
      </c>
    </row>
    <row r="1207" spans="1:13">
      <c r="A1207" s="216">
        <v>4420</v>
      </c>
      <c r="H1207" s="238">
        <v>0</v>
      </c>
      <c r="J1207" s="228">
        <v>0</v>
      </c>
      <c r="L1207">
        <v>551</v>
      </c>
      <c r="M1207">
        <v>20.61</v>
      </c>
    </row>
    <row r="1208" spans="1:13">
      <c r="A1208" s="216">
        <v>4432</v>
      </c>
      <c r="H1208" s="238">
        <v>0</v>
      </c>
      <c r="J1208" s="228">
        <v>0</v>
      </c>
      <c r="L1208">
        <v>551</v>
      </c>
      <c r="M1208">
        <v>20.54</v>
      </c>
    </row>
    <row r="1209" spans="1:13">
      <c r="A1209" s="216">
        <v>4433</v>
      </c>
      <c r="H1209" s="238">
        <v>0</v>
      </c>
      <c r="J1209" s="228">
        <v>0</v>
      </c>
      <c r="L1209">
        <v>551</v>
      </c>
      <c r="M1209">
        <v>20.47</v>
      </c>
    </row>
    <row r="1210" spans="1:13">
      <c r="A1210" s="216">
        <v>4502</v>
      </c>
      <c r="H1210" s="238">
        <v>0</v>
      </c>
      <c r="J1210" s="228">
        <v>0</v>
      </c>
      <c r="L1210">
        <v>551</v>
      </c>
      <c r="M1210">
        <v>20.41</v>
      </c>
    </row>
    <row r="1211" spans="1:13">
      <c r="A1211" s="216">
        <v>4503</v>
      </c>
      <c r="H1211" s="238">
        <v>0</v>
      </c>
      <c r="J1211" s="228">
        <v>0</v>
      </c>
      <c r="L1211">
        <v>551</v>
      </c>
      <c r="M1211">
        <v>20.34</v>
      </c>
    </row>
    <row r="1212" spans="1:13">
      <c r="A1212" s="216">
        <v>4506</v>
      </c>
      <c r="H1212" s="238">
        <v>0</v>
      </c>
      <c r="J1212" s="228">
        <v>0</v>
      </c>
      <c r="L1212">
        <v>551</v>
      </c>
      <c r="M1212">
        <v>20.28</v>
      </c>
    </row>
    <row r="1213" spans="1:13">
      <c r="A1213" s="216">
        <v>4510</v>
      </c>
      <c r="H1213" s="238">
        <v>0</v>
      </c>
      <c r="J1213" s="228">
        <v>0</v>
      </c>
      <c r="L1213">
        <v>551</v>
      </c>
      <c r="M1213">
        <v>20.21</v>
      </c>
    </row>
    <row r="1214" spans="1:13">
      <c r="A1214" s="216">
        <v>4513</v>
      </c>
      <c r="H1214" s="238">
        <v>0</v>
      </c>
      <c r="J1214" s="228">
        <v>0</v>
      </c>
      <c r="L1214">
        <v>551</v>
      </c>
      <c r="M1214">
        <v>20.14</v>
      </c>
    </row>
    <row r="1215" spans="1:13">
      <c r="A1215" s="216">
        <v>4523</v>
      </c>
      <c r="C1215">
        <v>-13</v>
      </c>
      <c r="H1215" s="238">
        <v>0</v>
      </c>
      <c r="J1215" s="228">
        <v>0</v>
      </c>
      <c r="L1215">
        <v>551</v>
      </c>
      <c r="M1215">
        <v>20.079999999999998</v>
      </c>
    </row>
    <row r="1216" spans="1:13">
      <c r="A1216" s="216">
        <v>4529</v>
      </c>
      <c r="H1216" s="238">
        <v>0</v>
      </c>
      <c r="J1216" s="228">
        <v>0</v>
      </c>
      <c r="L1216">
        <v>551</v>
      </c>
      <c r="M1216">
        <v>20.010000000000002</v>
      </c>
    </row>
    <row r="1217" spans="1:13">
      <c r="A1217" s="216">
        <v>4530</v>
      </c>
      <c r="H1217" s="238">
        <v>0</v>
      </c>
      <c r="J1217" s="228">
        <v>0</v>
      </c>
      <c r="L1217">
        <v>551</v>
      </c>
      <c r="M1217">
        <v>19.95</v>
      </c>
    </row>
    <row r="1218" spans="1:13">
      <c r="A1218" s="216">
        <v>4535</v>
      </c>
      <c r="H1218" s="238">
        <v>0</v>
      </c>
      <c r="J1218" s="228">
        <v>0</v>
      </c>
      <c r="L1218">
        <v>551</v>
      </c>
      <c r="M1218">
        <v>19.88</v>
      </c>
    </row>
    <row r="1219" spans="1:13">
      <c r="A1219" s="216">
        <v>4542</v>
      </c>
      <c r="H1219" s="238">
        <v>0</v>
      </c>
      <c r="J1219" s="228">
        <v>0</v>
      </c>
      <c r="L1219">
        <v>551</v>
      </c>
      <c r="M1219">
        <v>19.82</v>
      </c>
    </row>
    <row r="1220" spans="1:13">
      <c r="A1220" s="216">
        <v>4550</v>
      </c>
      <c r="H1220" s="238">
        <v>0</v>
      </c>
      <c r="J1220" s="228">
        <v>0</v>
      </c>
      <c r="L1220">
        <v>551</v>
      </c>
      <c r="M1220">
        <v>19.75</v>
      </c>
    </row>
    <row r="1221" spans="1:13">
      <c r="A1221" s="216">
        <v>4609</v>
      </c>
      <c r="H1221" s="238">
        <v>0</v>
      </c>
      <c r="J1221" s="228">
        <v>0</v>
      </c>
      <c r="L1221">
        <v>551</v>
      </c>
      <c r="M1221">
        <v>19.68</v>
      </c>
    </row>
    <row r="1222" spans="1:13">
      <c r="A1222" s="216">
        <v>4702</v>
      </c>
      <c r="H1222" s="238">
        <v>0</v>
      </c>
      <c r="J1222" s="228">
        <v>0</v>
      </c>
      <c r="L1222">
        <v>551</v>
      </c>
      <c r="M1222">
        <v>19.62</v>
      </c>
    </row>
    <row r="1223" spans="1:13">
      <c r="A1223" s="216">
        <v>4711</v>
      </c>
      <c r="H1223" s="238">
        <v>0</v>
      </c>
      <c r="J1223" s="228">
        <v>0</v>
      </c>
      <c r="L1223">
        <v>551</v>
      </c>
      <c r="M1223">
        <v>19.55</v>
      </c>
    </row>
    <row r="1224" spans="1:13">
      <c r="A1224" s="216">
        <v>4712</v>
      </c>
      <c r="C1224">
        <v>-11</v>
      </c>
      <c r="H1224" s="238">
        <v>0</v>
      </c>
      <c r="J1224" s="228">
        <v>0</v>
      </c>
      <c r="L1224">
        <v>551</v>
      </c>
      <c r="M1224">
        <v>19.489999999999998</v>
      </c>
    </row>
    <row r="1225" spans="1:13">
      <c r="A1225" s="216">
        <v>4714</v>
      </c>
      <c r="H1225" s="238">
        <v>0</v>
      </c>
      <c r="J1225" s="228">
        <v>0</v>
      </c>
      <c r="L1225">
        <v>551</v>
      </c>
      <c r="M1225">
        <v>19.420000000000002</v>
      </c>
    </row>
    <row r="1226" spans="1:13">
      <c r="A1226" s="216">
        <v>4716</v>
      </c>
      <c r="H1226" s="238">
        <v>0</v>
      </c>
      <c r="J1226" s="228">
        <v>0</v>
      </c>
      <c r="L1226">
        <v>551</v>
      </c>
      <c r="M1226">
        <v>19.350000000000001</v>
      </c>
    </row>
    <row r="1227" spans="1:13">
      <c r="A1227" s="216">
        <v>4726</v>
      </c>
      <c r="C1227">
        <v>-14</v>
      </c>
      <c r="H1227" s="238">
        <v>0</v>
      </c>
      <c r="J1227" s="228">
        <v>0</v>
      </c>
      <c r="L1227">
        <v>551</v>
      </c>
      <c r="M1227">
        <v>19.29</v>
      </c>
    </row>
    <row r="1228" spans="1:13">
      <c r="A1228" s="216">
        <v>4728</v>
      </c>
      <c r="H1228" s="238">
        <v>0</v>
      </c>
      <c r="J1228" s="228">
        <v>0</v>
      </c>
      <c r="L1228">
        <v>551</v>
      </c>
      <c r="M1228">
        <v>19.22</v>
      </c>
    </row>
    <row r="1229" spans="1:13">
      <c r="A1229" s="216">
        <v>4729</v>
      </c>
      <c r="H1229" s="238">
        <v>0</v>
      </c>
      <c r="J1229" s="228">
        <v>0</v>
      </c>
      <c r="L1229">
        <v>551</v>
      </c>
      <c r="M1229">
        <v>19.16</v>
      </c>
    </row>
    <row r="1230" spans="1:13">
      <c r="A1230" s="216">
        <v>4735</v>
      </c>
      <c r="H1230" s="238">
        <v>0</v>
      </c>
      <c r="J1230" s="228">
        <v>0</v>
      </c>
      <c r="L1230">
        <v>551</v>
      </c>
      <c r="M1230">
        <v>19.09</v>
      </c>
    </row>
    <row r="1231" spans="1:13">
      <c r="A1231" s="216">
        <v>4739</v>
      </c>
      <c r="H1231" s="238">
        <v>0</v>
      </c>
      <c r="J1231" s="228">
        <v>0</v>
      </c>
      <c r="L1231">
        <v>551</v>
      </c>
      <c r="M1231">
        <v>19.03</v>
      </c>
    </row>
    <row r="1232" spans="1:13">
      <c r="A1232" s="216">
        <v>4743</v>
      </c>
      <c r="H1232" s="238">
        <v>0</v>
      </c>
      <c r="J1232" s="228">
        <v>0</v>
      </c>
      <c r="L1232">
        <v>551</v>
      </c>
      <c r="M1232">
        <v>18.96</v>
      </c>
    </row>
    <row r="1233" spans="1:13">
      <c r="A1233" s="216">
        <v>4745</v>
      </c>
      <c r="H1233" s="238">
        <v>0</v>
      </c>
      <c r="J1233" s="228">
        <v>0</v>
      </c>
      <c r="L1233">
        <v>551</v>
      </c>
      <c r="M1233">
        <v>18.89</v>
      </c>
    </row>
    <row r="1234" spans="1:13">
      <c r="A1234" s="216">
        <v>4747</v>
      </c>
      <c r="H1234" s="238">
        <v>0</v>
      </c>
      <c r="J1234" s="228">
        <v>0</v>
      </c>
      <c r="L1234">
        <v>551</v>
      </c>
      <c r="M1234">
        <v>18.829999999999998</v>
      </c>
    </row>
    <row r="1235" spans="1:13">
      <c r="A1235" s="216">
        <v>4905</v>
      </c>
      <c r="C1235">
        <v>-2</v>
      </c>
      <c r="H1235" s="238">
        <v>0</v>
      </c>
      <c r="J1235" s="228">
        <v>0</v>
      </c>
      <c r="L1235">
        <v>551</v>
      </c>
      <c r="M1235">
        <v>18.760000000000002</v>
      </c>
    </row>
    <row r="1236" spans="1:13">
      <c r="A1236" s="216">
        <v>4907</v>
      </c>
      <c r="C1236">
        <v>40</v>
      </c>
      <c r="D1236">
        <v>605</v>
      </c>
      <c r="E1236">
        <v>0</v>
      </c>
      <c r="F1236">
        <v>755</v>
      </c>
      <c r="G1236">
        <v>2298</v>
      </c>
      <c r="H1236" s="238">
        <v>0</v>
      </c>
      <c r="J1236" s="228">
        <v>0</v>
      </c>
      <c r="L1236">
        <v>551</v>
      </c>
      <c r="M1236">
        <v>18.7</v>
      </c>
    </row>
    <row r="1237" spans="1:13">
      <c r="A1237" s="216">
        <v>4908</v>
      </c>
      <c r="H1237" s="238">
        <v>0</v>
      </c>
      <c r="J1237" s="228">
        <v>0</v>
      </c>
      <c r="L1237">
        <v>551</v>
      </c>
      <c r="M1237">
        <v>18.63</v>
      </c>
    </row>
    <row r="1238" spans="1:13">
      <c r="A1238" s="216">
        <v>4909</v>
      </c>
      <c r="C1238">
        <v>58</v>
      </c>
      <c r="D1238">
        <v>2233</v>
      </c>
      <c r="E1238">
        <v>404</v>
      </c>
      <c r="F1238">
        <v>2561</v>
      </c>
      <c r="G1238">
        <v>0</v>
      </c>
      <c r="H1238" s="238">
        <v>0</v>
      </c>
      <c r="J1238" s="228">
        <v>0</v>
      </c>
      <c r="L1238">
        <v>551</v>
      </c>
      <c r="M1238">
        <v>18.559999999999999</v>
      </c>
    </row>
    <row r="1239" spans="1:13">
      <c r="A1239" s="216">
        <v>4911</v>
      </c>
      <c r="C1239">
        <v>-9</v>
      </c>
      <c r="H1239" s="238">
        <v>0</v>
      </c>
      <c r="J1239" s="228">
        <v>0</v>
      </c>
      <c r="L1239">
        <v>551</v>
      </c>
      <c r="M1239">
        <v>18.5</v>
      </c>
    </row>
    <row r="1240" spans="1:13">
      <c r="A1240" s="216">
        <v>4924</v>
      </c>
      <c r="C1240">
        <v>-12</v>
      </c>
      <c r="H1240" s="238">
        <v>0</v>
      </c>
      <c r="J1240" s="228">
        <v>0</v>
      </c>
      <c r="L1240">
        <v>551</v>
      </c>
      <c r="M1240">
        <v>18.43</v>
      </c>
    </row>
    <row r="1241" spans="1:13">
      <c r="A1241" s="216">
        <v>4933</v>
      </c>
      <c r="H1241" s="238">
        <v>0</v>
      </c>
      <c r="J1241" s="228">
        <v>0</v>
      </c>
      <c r="L1241">
        <v>551</v>
      </c>
      <c r="M1241">
        <v>18.37</v>
      </c>
    </row>
    <row r="1242" spans="1:13">
      <c r="A1242" s="216">
        <v>4939</v>
      </c>
      <c r="C1242">
        <v>-18</v>
      </c>
      <c r="H1242" s="238">
        <v>0</v>
      </c>
      <c r="J1242" s="228">
        <v>0</v>
      </c>
      <c r="L1242">
        <v>551</v>
      </c>
      <c r="M1242">
        <v>18.3</v>
      </c>
    </row>
    <row r="1243" spans="1:13">
      <c r="A1243" s="216">
        <v>4944</v>
      </c>
      <c r="H1243" s="238">
        <v>0</v>
      </c>
      <c r="J1243" s="228">
        <v>0</v>
      </c>
      <c r="L1243">
        <v>551</v>
      </c>
      <c r="M1243">
        <v>18.239999999999998</v>
      </c>
    </row>
    <row r="1244" spans="1:13">
      <c r="A1244" s="216">
        <v>4946</v>
      </c>
      <c r="C1244">
        <v>-28</v>
      </c>
      <c r="H1244" s="238">
        <v>0</v>
      </c>
      <c r="J1244" s="228">
        <v>0</v>
      </c>
      <c r="L1244">
        <v>551</v>
      </c>
      <c r="M1244">
        <v>18.170000000000002</v>
      </c>
    </row>
    <row r="1245" spans="1:13">
      <c r="A1245" s="216">
        <v>4950</v>
      </c>
      <c r="H1245" s="238">
        <v>0</v>
      </c>
      <c r="J1245" s="228">
        <v>0</v>
      </c>
      <c r="L1245">
        <v>551</v>
      </c>
      <c r="M1245">
        <v>18.100000000000001</v>
      </c>
    </row>
    <row r="1246" spans="1:13">
      <c r="A1246" s="216">
        <v>4953</v>
      </c>
      <c r="C1246">
        <v>-2</v>
      </c>
      <c r="H1246" s="238">
        <v>0</v>
      </c>
      <c r="J1246" s="228">
        <v>0</v>
      </c>
      <c r="L1246">
        <v>551</v>
      </c>
      <c r="M1246">
        <v>18.04</v>
      </c>
    </row>
    <row r="1247" spans="1:13">
      <c r="A1247" s="216">
        <v>4965</v>
      </c>
      <c r="C1247">
        <v>8</v>
      </c>
      <c r="D1247">
        <v>996</v>
      </c>
      <c r="E1247">
        <v>6</v>
      </c>
      <c r="F1247">
        <v>1000</v>
      </c>
      <c r="G1247">
        <v>0</v>
      </c>
      <c r="H1247" s="238">
        <v>0</v>
      </c>
      <c r="J1247" s="228">
        <v>0</v>
      </c>
      <c r="L1247">
        <v>551</v>
      </c>
      <c r="M1247">
        <v>17.97</v>
      </c>
    </row>
    <row r="1248" spans="1:13">
      <c r="A1248" s="216">
        <v>4966</v>
      </c>
      <c r="C1248">
        <v>297</v>
      </c>
      <c r="D1248">
        <v>2932</v>
      </c>
      <c r="E1248">
        <v>169</v>
      </c>
      <c r="F1248">
        <v>6181</v>
      </c>
      <c r="G1248">
        <v>0</v>
      </c>
      <c r="H1248" s="238">
        <v>0</v>
      </c>
      <c r="J1248" s="228">
        <v>0</v>
      </c>
      <c r="L1248">
        <v>551</v>
      </c>
      <c r="M1248">
        <v>17.91</v>
      </c>
    </row>
    <row r="1249" spans="1:13">
      <c r="A1249" s="216">
        <v>4971</v>
      </c>
      <c r="C1249">
        <v>70</v>
      </c>
      <c r="D1249">
        <v>731</v>
      </c>
      <c r="E1249">
        <v>597</v>
      </c>
      <c r="F1249">
        <v>1437</v>
      </c>
      <c r="G1249">
        <v>0</v>
      </c>
      <c r="H1249" s="238">
        <v>0</v>
      </c>
      <c r="J1249" s="228">
        <v>0</v>
      </c>
      <c r="L1249">
        <v>551</v>
      </c>
      <c r="M1249">
        <v>17.84</v>
      </c>
    </row>
    <row r="1250" spans="1:13">
      <c r="A1250" s="216">
        <v>4972</v>
      </c>
      <c r="C1250">
        <v>49</v>
      </c>
      <c r="D1250">
        <v>655</v>
      </c>
      <c r="E1250">
        <v>329</v>
      </c>
      <c r="F1250">
        <v>1166</v>
      </c>
      <c r="G1250">
        <v>0</v>
      </c>
      <c r="H1250" s="238">
        <v>0</v>
      </c>
      <c r="J1250" s="228">
        <v>0</v>
      </c>
      <c r="L1250">
        <v>551</v>
      </c>
      <c r="M1250">
        <v>17.77</v>
      </c>
    </row>
    <row r="1251" spans="1:13">
      <c r="A1251" s="216">
        <v>4973</v>
      </c>
      <c r="C1251">
        <v>-17</v>
      </c>
      <c r="H1251" s="238">
        <v>0</v>
      </c>
      <c r="J1251" s="228">
        <v>0</v>
      </c>
      <c r="L1251">
        <v>551</v>
      </c>
      <c r="M1251">
        <v>17.71</v>
      </c>
    </row>
    <row r="1252" spans="1:13">
      <c r="A1252" s="216">
        <v>4974</v>
      </c>
      <c r="C1252">
        <v>79</v>
      </c>
      <c r="D1252">
        <v>1568</v>
      </c>
      <c r="E1252">
        <v>553</v>
      </c>
      <c r="F1252">
        <v>1693</v>
      </c>
      <c r="G1252">
        <v>0</v>
      </c>
      <c r="H1252" s="238">
        <v>0</v>
      </c>
      <c r="J1252" s="228">
        <v>0</v>
      </c>
      <c r="L1252">
        <v>551</v>
      </c>
      <c r="M1252">
        <v>17.64</v>
      </c>
    </row>
    <row r="1253" spans="1:13">
      <c r="A1253" s="216">
        <v>4995</v>
      </c>
      <c r="C1253">
        <v>19</v>
      </c>
      <c r="D1253">
        <v>397</v>
      </c>
      <c r="E1253">
        <v>73</v>
      </c>
      <c r="F1253">
        <v>496</v>
      </c>
      <c r="G1253">
        <v>0</v>
      </c>
      <c r="H1253" s="238">
        <v>0</v>
      </c>
      <c r="J1253" s="228">
        <v>0</v>
      </c>
      <c r="L1253">
        <v>551</v>
      </c>
      <c r="M1253">
        <v>17.579999999999998</v>
      </c>
    </row>
    <row r="1254" spans="1:13">
      <c r="A1254" s="216">
        <v>5009</v>
      </c>
      <c r="H1254" s="238">
        <v>0</v>
      </c>
      <c r="J1254" s="228">
        <v>0</v>
      </c>
      <c r="L1254">
        <v>551</v>
      </c>
      <c r="M1254">
        <v>17.510000000000002</v>
      </c>
    </row>
    <row r="1255" spans="1:13">
      <c r="A1255" s="216">
        <v>5013</v>
      </c>
      <c r="H1255" s="238">
        <v>0</v>
      </c>
      <c r="J1255" s="228">
        <v>0</v>
      </c>
      <c r="L1255">
        <v>551</v>
      </c>
      <c r="M1255">
        <v>17.45</v>
      </c>
    </row>
    <row r="1256" spans="1:13">
      <c r="A1256" s="216">
        <v>5014</v>
      </c>
      <c r="H1256" s="238">
        <v>0</v>
      </c>
      <c r="J1256" s="228">
        <v>0</v>
      </c>
      <c r="L1256">
        <v>551</v>
      </c>
      <c r="M1256">
        <v>17.38</v>
      </c>
    </row>
    <row r="1257" spans="1:13">
      <c r="A1257" s="216">
        <v>5015</v>
      </c>
      <c r="H1257" s="238">
        <v>0</v>
      </c>
      <c r="J1257" s="228">
        <v>0</v>
      </c>
      <c r="L1257">
        <v>551</v>
      </c>
      <c r="M1257">
        <v>17.309999999999999</v>
      </c>
    </row>
    <row r="1258" spans="1:13">
      <c r="A1258" s="216">
        <v>5016</v>
      </c>
      <c r="H1258" s="238">
        <v>0</v>
      </c>
      <c r="J1258" s="228">
        <v>0</v>
      </c>
      <c r="L1258">
        <v>551</v>
      </c>
      <c r="M1258">
        <v>17.25</v>
      </c>
    </row>
    <row r="1259" spans="1:13">
      <c r="A1259" s="216">
        <v>5201</v>
      </c>
      <c r="H1259" s="238">
        <v>0</v>
      </c>
      <c r="J1259" s="228">
        <v>0</v>
      </c>
      <c r="L1259">
        <v>551</v>
      </c>
      <c r="M1259">
        <v>17.18</v>
      </c>
    </row>
    <row r="1260" spans="1:13">
      <c r="A1260" s="216">
        <v>5202</v>
      </c>
      <c r="H1260" s="238">
        <v>0</v>
      </c>
      <c r="J1260" s="228">
        <v>0</v>
      </c>
      <c r="L1260">
        <v>551</v>
      </c>
      <c r="M1260">
        <v>17.12</v>
      </c>
    </row>
    <row r="1261" spans="1:13">
      <c r="A1261" s="216">
        <v>5205</v>
      </c>
      <c r="C1261">
        <v>-4</v>
      </c>
      <c r="H1261" s="238">
        <v>0</v>
      </c>
      <c r="J1261" s="228">
        <v>0</v>
      </c>
      <c r="L1261">
        <v>551</v>
      </c>
      <c r="M1261">
        <v>17.05</v>
      </c>
    </row>
    <row r="1262" spans="1:13">
      <c r="A1262" s="216">
        <v>5209</v>
      </c>
      <c r="C1262">
        <v>10</v>
      </c>
      <c r="D1262">
        <v>403</v>
      </c>
      <c r="E1262">
        <v>73</v>
      </c>
      <c r="F1262">
        <v>496</v>
      </c>
      <c r="G1262">
        <v>0</v>
      </c>
      <c r="H1262" s="238">
        <v>0</v>
      </c>
      <c r="J1262" s="228">
        <v>0</v>
      </c>
      <c r="L1262">
        <v>551</v>
      </c>
      <c r="M1262">
        <v>16.98</v>
      </c>
    </row>
    <row r="1263" spans="1:13">
      <c r="A1263" s="216">
        <v>5210</v>
      </c>
      <c r="C1263">
        <v>-19</v>
      </c>
      <c r="H1263" s="238">
        <v>0</v>
      </c>
      <c r="J1263" s="228">
        <v>0</v>
      </c>
      <c r="L1263">
        <v>551</v>
      </c>
      <c r="M1263">
        <v>16.920000000000002</v>
      </c>
    </row>
    <row r="1264" spans="1:13">
      <c r="A1264" s="216">
        <v>5211</v>
      </c>
      <c r="C1264">
        <v>3</v>
      </c>
      <c r="D1264">
        <v>324</v>
      </c>
      <c r="E1264">
        <v>183</v>
      </c>
      <c r="F1264">
        <v>530</v>
      </c>
      <c r="G1264">
        <v>0</v>
      </c>
      <c r="H1264" s="238">
        <v>0</v>
      </c>
      <c r="J1264" s="228">
        <v>0</v>
      </c>
      <c r="L1264">
        <v>551</v>
      </c>
      <c r="M1264">
        <v>16.850000000000001</v>
      </c>
    </row>
    <row r="1265" spans="1:13">
      <c r="A1265" s="216">
        <v>5213</v>
      </c>
      <c r="C1265">
        <v>24</v>
      </c>
      <c r="D1265">
        <v>7830</v>
      </c>
      <c r="E1265">
        <v>1228</v>
      </c>
      <c r="F1265">
        <v>7241</v>
      </c>
      <c r="G1265">
        <v>11622</v>
      </c>
      <c r="H1265" s="238">
        <v>0</v>
      </c>
      <c r="J1265" s="228">
        <v>0</v>
      </c>
      <c r="L1265">
        <v>551</v>
      </c>
      <c r="M1265">
        <v>16.79</v>
      </c>
    </row>
    <row r="1266" spans="1:13">
      <c r="A1266" s="216">
        <v>5227</v>
      </c>
      <c r="C1266">
        <v>-97</v>
      </c>
      <c r="H1266" s="238">
        <v>0</v>
      </c>
      <c r="J1266" s="228">
        <v>0</v>
      </c>
      <c r="L1266">
        <v>551</v>
      </c>
      <c r="M1266">
        <v>16.72</v>
      </c>
    </row>
    <row r="1267" spans="1:13">
      <c r="A1267" s="216">
        <v>5230</v>
      </c>
      <c r="H1267" s="238">
        <v>0</v>
      </c>
      <c r="J1267" s="228">
        <v>0</v>
      </c>
      <c r="L1267">
        <v>551</v>
      </c>
      <c r="M1267">
        <v>16.66</v>
      </c>
    </row>
    <row r="1268" spans="1:13">
      <c r="A1268" s="216">
        <v>5245</v>
      </c>
      <c r="H1268" s="238">
        <v>0</v>
      </c>
      <c r="J1268" s="228">
        <v>0</v>
      </c>
      <c r="L1268">
        <v>551</v>
      </c>
      <c r="M1268">
        <v>16.59</v>
      </c>
    </row>
    <row r="1269" spans="1:13">
      <c r="A1269" s="216">
        <v>5251</v>
      </c>
      <c r="C1269">
        <v>-1</v>
      </c>
      <c r="H1269" s="238">
        <v>0</v>
      </c>
      <c r="J1269" s="228">
        <v>0</v>
      </c>
      <c r="L1269">
        <v>551</v>
      </c>
      <c r="M1269">
        <v>16.52</v>
      </c>
    </row>
    <row r="1270" spans="1:13">
      <c r="A1270" s="216">
        <v>5255</v>
      </c>
      <c r="H1270" s="238">
        <v>0</v>
      </c>
      <c r="J1270" s="228">
        <v>0</v>
      </c>
      <c r="L1270">
        <v>551</v>
      </c>
      <c r="M1270">
        <v>16.46</v>
      </c>
    </row>
    <row r="1271" spans="1:13">
      <c r="A1271" s="216">
        <v>5263</v>
      </c>
      <c r="H1271" s="238">
        <v>0</v>
      </c>
      <c r="J1271" s="228">
        <v>0</v>
      </c>
      <c r="L1271">
        <v>551</v>
      </c>
      <c r="M1271">
        <v>16.39</v>
      </c>
    </row>
    <row r="1272" spans="1:13">
      <c r="A1272" s="216">
        <v>5266</v>
      </c>
      <c r="H1272" s="238">
        <v>0</v>
      </c>
      <c r="J1272" s="228">
        <v>0</v>
      </c>
      <c r="L1272">
        <v>551</v>
      </c>
      <c r="M1272">
        <v>16.329999999999998</v>
      </c>
    </row>
    <row r="1273" spans="1:13">
      <c r="A1273" s="216">
        <v>5272</v>
      </c>
      <c r="C1273">
        <v>3</v>
      </c>
      <c r="D1273">
        <v>502</v>
      </c>
      <c r="E1273">
        <v>150</v>
      </c>
      <c r="F1273">
        <v>814</v>
      </c>
      <c r="G1273">
        <v>0</v>
      </c>
      <c r="H1273" s="238">
        <v>0</v>
      </c>
      <c r="J1273" s="228">
        <v>0</v>
      </c>
      <c r="L1273">
        <v>551</v>
      </c>
      <c r="M1273">
        <v>16.260000000000002</v>
      </c>
    </row>
    <row r="1274" spans="1:13">
      <c r="A1274" s="216">
        <v>5276</v>
      </c>
      <c r="C1274">
        <v>21</v>
      </c>
      <c r="D1274">
        <v>560</v>
      </c>
      <c r="E1274">
        <v>99</v>
      </c>
      <c r="F1274">
        <v>669</v>
      </c>
      <c r="G1274">
        <v>0</v>
      </c>
      <c r="H1274" s="238">
        <v>0</v>
      </c>
      <c r="J1274" s="228">
        <v>0</v>
      </c>
      <c r="L1274">
        <v>551</v>
      </c>
      <c r="M1274">
        <v>16.190000000000001</v>
      </c>
    </row>
    <row r="1275" spans="1:13">
      <c r="A1275" s="216">
        <v>5278</v>
      </c>
      <c r="H1275" s="238">
        <v>0</v>
      </c>
      <c r="J1275" s="228">
        <v>0</v>
      </c>
      <c r="L1275">
        <v>551</v>
      </c>
      <c r="M1275">
        <v>16.13</v>
      </c>
    </row>
    <row r="1276" spans="1:13">
      <c r="A1276" s="216">
        <v>5284</v>
      </c>
      <c r="H1276" s="238">
        <v>0</v>
      </c>
      <c r="J1276" s="228">
        <v>0</v>
      </c>
      <c r="L1276">
        <v>551</v>
      </c>
      <c r="M1276">
        <v>16.059999999999999</v>
      </c>
    </row>
    <row r="1277" spans="1:13">
      <c r="A1277" s="216">
        <v>5287</v>
      </c>
      <c r="C1277">
        <v>164</v>
      </c>
      <c r="D1277">
        <v>714</v>
      </c>
      <c r="E1277">
        <v>727</v>
      </c>
      <c r="F1277">
        <v>1738</v>
      </c>
      <c r="G1277">
        <v>0</v>
      </c>
      <c r="H1277" s="238">
        <v>0</v>
      </c>
      <c r="J1277" s="228">
        <v>0</v>
      </c>
      <c r="L1277">
        <v>551</v>
      </c>
      <c r="M1277">
        <v>16</v>
      </c>
    </row>
    <row r="1278" spans="1:13">
      <c r="A1278" s="216">
        <v>5291</v>
      </c>
      <c r="C1278">
        <v>-12</v>
      </c>
      <c r="H1278" s="238">
        <v>0</v>
      </c>
      <c r="J1278" s="228">
        <v>0</v>
      </c>
      <c r="L1278">
        <v>551</v>
      </c>
      <c r="M1278">
        <v>15.93</v>
      </c>
    </row>
    <row r="1279" spans="1:13">
      <c r="A1279" s="216">
        <v>5301</v>
      </c>
      <c r="C1279">
        <v>-26</v>
      </c>
      <c r="H1279" s="238">
        <v>0</v>
      </c>
      <c r="J1279" s="228">
        <v>0</v>
      </c>
      <c r="L1279">
        <v>551</v>
      </c>
      <c r="M1279">
        <v>15.87</v>
      </c>
    </row>
    <row r="1280" spans="1:13">
      <c r="A1280" s="216">
        <v>5302</v>
      </c>
      <c r="H1280" s="238">
        <v>0</v>
      </c>
      <c r="J1280" s="228">
        <v>0</v>
      </c>
      <c r="L1280">
        <v>551</v>
      </c>
      <c r="M1280">
        <v>15.8</v>
      </c>
    </row>
    <row r="1281" spans="1:13">
      <c r="A1281" s="216">
        <v>5304</v>
      </c>
      <c r="H1281" s="238">
        <v>0</v>
      </c>
      <c r="J1281" s="228">
        <v>0</v>
      </c>
      <c r="L1281">
        <v>551</v>
      </c>
      <c r="M1281">
        <v>15.73</v>
      </c>
    </row>
    <row r="1282" spans="1:13">
      <c r="A1282" s="216">
        <v>5309</v>
      </c>
      <c r="H1282" s="238">
        <v>0</v>
      </c>
      <c r="J1282" s="228">
        <v>0</v>
      </c>
      <c r="L1282">
        <v>551</v>
      </c>
      <c r="M1282">
        <v>15.67</v>
      </c>
    </row>
    <row r="1283" spans="1:13">
      <c r="A1283" s="216">
        <v>5310</v>
      </c>
      <c r="C1283">
        <v>0</v>
      </c>
      <c r="H1283" s="238">
        <v>0</v>
      </c>
      <c r="J1283" s="228">
        <v>0</v>
      </c>
      <c r="L1283">
        <v>551</v>
      </c>
      <c r="M1283">
        <v>15.6</v>
      </c>
    </row>
    <row r="1284" spans="1:13">
      <c r="A1284" s="216">
        <v>5312</v>
      </c>
      <c r="H1284" s="238">
        <v>0</v>
      </c>
      <c r="J1284" s="228">
        <v>0</v>
      </c>
      <c r="L1284">
        <v>551</v>
      </c>
      <c r="M1284">
        <v>15.54</v>
      </c>
    </row>
    <row r="1285" spans="1:13">
      <c r="A1285" s="216">
        <v>5314</v>
      </c>
      <c r="C1285">
        <v>-16</v>
      </c>
      <c r="H1285" s="238">
        <v>0</v>
      </c>
      <c r="J1285" s="228">
        <v>0</v>
      </c>
      <c r="L1285">
        <v>551</v>
      </c>
      <c r="M1285">
        <v>15.47</v>
      </c>
    </row>
    <row r="1286" spans="1:13">
      <c r="A1286" s="216">
        <v>5315</v>
      </c>
      <c r="H1286" s="238">
        <v>0</v>
      </c>
      <c r="J1286" s="228">
        <v>0</v>
      </c>
      <c r="L1286">
        <v>551</v>
      </c>
      <c r="M1286">
        <v>15.4</v>
      </c>
    </row>
    <row r="1287" spans="1:13">
      <c r="A1287" s="216">
        <v>5324</v>
      </c>
      <c r="H1287" s="238">
        <v>0</v>
      </c>
      <c r="J1287" s="228">
        <v>0</v>
      </c>
      <c r="L1287">
        <v>551</v>
      </c>
      <c r="M1287">
        <v>15.34</v>
      </c>
    </row>
    <row r="1288" spans="1:13">
      <c r="A1288" s="216">
        <v>5328</v>
      </c>
      <c r="C1288">
        <v>-3</v>
      </c>
      <c r="H1288" s="238">
        <v>0</v>
      </c>
      <c r="J1288" s="228">
        <v>0</v>
      </c>
      <c r="L1288">
        <v>551</v>
      </c>
      <c r="M1288">
        <v>15.27</v>
      </c>
    </row>
    <row r="1289" spans="1:13">
      <c r="A1289" s="216">
        <v>5340</v>
      </c>
      <c r="C1289">
        <v>-22</v>
      </c>
      <c r="H1289" s="238">
        <v>0</v>
      </c>
      <c r="J1289" s="228">
        <v>0</v>
      </c>
      <c r="L1289">
        <v>551</v>
      </c>
      <c r="M1289">
        <v>15.21</v>
      </c>
    </row>
    <row r="1290" spans="1:13">
      <c r="A1290" s="216">
        <v>5344</v>
      </c>
      <c r="C1290">
        <v>-22</v>
      </c>
      <c r="H1290" s="238">
        <v>0</v>
      </c>
      <c r="J1290" s="228">
        <v>0</v>
      </c>
      <c r="L1290">
        <v>551</v>
      </c>
      <c r="M1290">
        <v>15.14</v>
      </c>
    </row>
    <row r="1291" spans="1:13">
      <c r="A1291" s="216">
        <v>5345</v>
      </c>
      <c r="H1291" s="238">
        <v>0</v>
      </c>
      <c r="J1291" s="228">
        <v>0</v>
      </c>
      <c r="L1291">
        <v>551</v>
      </c>
      <c r="M1291">
        <v>15.08</v>
      </c>
    </row>
    <row r="1292" spans="1:13">
      <c r="A1292" s="216">
        <v>5347</v>
      </c>
      <c r="C1292">
        <v>894</v>
      </c>
      <c r="D1292">
        <v>19211</v>
      </c>
      <c r="E1292">
        <v>7350</v>
      </c>
      <c r="F1292">
        <v>26542</v>
      </c>
      <c r="G1292">
        <v>0</v>
      </c>
      <c r="H1292" s="238">
        <v>0</v>
      </c>
      <c r="J1292" s="228">
        <v>0</v>
      </c>
      <c r="L1292">
        <v>551</v>
      </c>
      <c r="M1292">
        <v>15.01</v>
      </c>
    </row>
    <row r="1293" spans="1:13">
      <c r="A1293" s="216">
        <v>5348</v>
      </c>
      <c r="H1293" s="238">
        <v>0</v>
      </c>
      <c r="J1293" s="228">
        <v>0</v>
      </c>
      <c r="L1293">
        <v>551</v>
      </c>
      <c r="M1293">
        <v>14.94</v>
      </c>
    </row>
    <row r="1294" spans="1:13">
      <c r="A1294" s="216">
        <v>5351</v>
      </c>
      <c r="C1294">
        <v>-84</v>
      </c>
      <c r="H1294" s="238">
        <v>0</v>
      </c>
      <c r="J1294" s="228">
        <v>0</v>
      </c>
      <c r="L1294">
        <v>551</v>
      </c>
      <c r="M1294">
        <v>14.88</v>
      </c>
    </row>
    <row r="1295" spans="1:13">
      <c r="A1295" s="216">
        <v>5353</v>
      </c>
      <c r="H1295" s="238">
        <v>0</v>
      </c>
      <c r="J1295" s="228">
        <v>0</v>
      </c>
      <c r="L1295">
        <v>551</v>
      </c>
      <c r="M1295">
        <v>14.81</v>
      </c>
    </row>
    <row r="1296" spans="1:13">
      <c r="A1296" s="216">
        <v>5355</v>
      </c>
      <c r="H1296" s="238">
        <v>0</v>
      </c>
      <c r="J1296" s="228">
        <v>0</v>
      </c>
      <c r="L1296">
        <v>551</v>
      </c>
      <c r="M1296">
        <v>14.75</v>
      </c>
    </row>
    <row r="1297" spans="1:13">
      <c r="A1297" s="216">
        <v>5356</v>
      </c>
      <c r="H1297" s="238">
        <v>0</v>
      </c>
      <c r="J1297" s="228">
        <v>0</v>
      </c>
      <c r="L1297">
        <v>551</v>
      </c>
      <c r="M1297">
        <v>14.68</v>
      </c>
    </row>
    <row r="1298" spans="1:13">
      <c r="A1298" s="216">
        <v>5364</v>
      </c>
      <c r="H1298" s="238">
        <v>0</v>
      </c>
      <c r="J1298" s="228">
        <v>0</v>
      </c>
      <c r="L1298">
        <v>551</v>
      </c>
      <c r="M1298">
        <v>14.61</v>
      </c>
    </row>
    <row r="1299" spans="1:13">
      <c r="A1299" s="216">
        <v>5383</v>
      </c>
      <c r="C1299">
        <v>-31</v>
      </c>
      <c r="H1299" s="238">
        <v>0</v>
      </c>
      <c r="J1299" s="228">
        <v>0</v>
      </c>
      <c r="L1299">
        <v>551</v>
      </c>
      <c r="M1299">
        <v>14.55</v>
      </c>
    </row>
    <row r="1300" spans="1:13">
      <c r="A1300" s="216">
        <v>5384</v>
      </c>
      <c r="H1300" s="238">
        <v>0</v>
      </c>
      <c r="J1300" s="228">
        <v>0</v>
      </c>
      <c r="L1300">
        <v>551</v>
      </c>
      <c r="M1300">
        <v>14.48</v>
      </c>
    </row>
    <row r="1301" spans="1:13">
      <c r="A1301" s="216">
        <v>5386</v>
      </c>
      <c r="C1301">
        <v>13</v>
      </c>
      <c r="D1301">
        <v>146</v>
      </c>
      <c r="E1301">
        <v>1</v>
      </c>
      <c r="F1301">
        <v>161</v>
      </c>
      <c r="G1301">
        <v>0</v>
      </c>
      <c r="H1301" s="238">
        <v>0</v>
      </c>
      <c r="J1301" s="228">
        <v>0</v>
      </c>
      <c r="L1301">
        <v>551</v>
      </c>
      <c r="M1301">
        <v>14.42</v>
      </c>
    </row>
    <row r="1302" spans="1:13">
      <c r="A1302" s="216">
        <v>5392</v>
      </c>
      <c r="C1302">
        <v>-24</v>
      </c>
      <c r="H1302" s="238">
        <v>0</v>
      </c>
      <c r="J1302" s="228">
        <v>0</v>
      </c>
      <c r="L1302">
        <v>551</v>
      </c>
      <c r="M1302">
        <v>14.35</v>
      </c>
    </row>
    <row r="1303" spans="1:13">
      <c r="A1303" s="216">
        <v>5398</v>
      </c>
      <c r="C1303">
        <v>14</v>
      </c>
      <c r="D1303">
        <v>240</v>
      </c>
      <c r="E1303">
        <v>34</v>
      </c>
      <c r="F1303">
        <v>316</v>
      </c>
      <c r="G1303">
        <v>0</v>
      </c>
      <c r="H1303" s="238">
        <v>0</v>
      </c>
      <c r="J1303" s="228">
        <v>0</v>
      </c>
      <c r="L1303">
        <v>551</v>
      </c>
      <c r="M1303">
        <v>14.29</v>
      </c>
    </row>
    <row r="1304" spans="1:13">
      <c r="A1304" s="216">
        <v>5410</v>
      </c>
      <c r="H1304" s="238">
        <v>0</v>
      </c>
      <c r="J1304" s="228">
        <v>0</v>
      </c>
      <c r="L1304">
        <v>551</v>
      </c>
      <c r="M1304">
        <v>14.22</v>
      </c>
    </row>
    <row r="1305" spans="1:13">
      <c r="A1305" s="216">
        <v>5425</v>
      </c>
      <c r="H1305" s="238">
        <v>0</v>
      </c>
      <c r="J1305" s="228">
        <v>0</v>
      </c>
      <c r="L1305">
        <v>551</v>
      </c>
      <c r="M1305">
        <v>14.15</v>
      </c>
    </row>
    <row r="1306" spans="1:13">
      <c r="A1306" s="216">
        <v>5426</v>
      </c>
      <c r="H1306" s="238">
        <v>0</v>
      </c>
      <c r="J1306" s="228">
        <v>0</v>
      </c>
      <c r="L1306">
        <v>551</v>
      </c>
      <c r="M1306">
        <v>14.09</v>
      </c>
    </row>
    <row r="1307" spans="1:13">
      <c r="A1307" s="216">
        <v>5432</v>
      </c>
      <c r="H1307" s="238">
        <v>0</v>
      </c>
      <c r="J1307" s="228">
        <v>0</v>
      </c>
      <c r="L1307">
        <v>551</v>
      </c>
      <c r="M1307">
        <v>14.02</v>
      </c>
    </row>
    <row r="1308" spans="1:13">
      <c r="A1308" s="216">
        <v>5438</v>
      </c>
      <c r="H1308" s="238">
        <v>0</v>
      </c>
      <c r="J1308" s="228">
        <v>0</v>
      </c>
      <c r="L1308">
        <v>551</v>
      </c>
      <c r="M1308">
        <v>13.96</v>
      </c>
    </row>
    <row r="1309" spans="1:13">
      <c r="A1309" s="216">
        <v>5439</v>
      </c>
      <c r="H1309" s="238">
        <v>0</v>
      </c>
      <c r="J1309" s="228">
        <v>0</v>
      </c>
      <c r="L1309">
        <v>551</v>
      </c>
      <c r="M1309">
        <v>13.89</v>
      </c>
    </row>
    <row r="1310" spans="1:13">
      <c r="A1310" s="216">
        <v>5443</v>
      </c>
      <c r="H1310" s="238">
        <v>0</v>
      </c>
      <c r="J1310" s="228">
        <v>0</v>
      </c>
      <c r="L1310">
        <v>551</v>
      </c>
      <c r="M1310">
        <v>13.82</v>
      </c>
    </row>
    <row r="1311" spans="1:13">
      <c r="A1311" s="216">
        <v>5450</v>
      </c>
      <c r="C1311">
        <v>-7</v>
      </c>
      <c r="H1311" s="238">
        <v>0</v>
      </c>
      <c r="J1311" s="228">
        <v>0</v>
      </c>
      <c r="L1311">
        <v>551</v>
      </c>
      <c r="M1311">
        <v>13.76</v>
      </c>
    </row>
    <row r="1312" spans="1:13">
      <c r="A1312" s="216">
        <v>5452</v>
      </c>
      <c r="H1312" s="238">
        <v>0</v>
      </c>
      <c r="J1312" s="228">
        <v>0</v>
      </c>
      <c r="L1312">
        <v>551</v>
      </c>
      <c r="M1312">
        <v>13.69</v>
      </c>
    </row>
    <row r="1313" spans="1:13">
      <c r="A1313" s="216">
        <v>5455</v>
      </c>
      <c r="C1313">
        <v>-11</v>
      </c>
      <c r="H1313" s="238">
        <v>0</v>
      </c>
      <c r="J1313" s="228">
        <v>0</v>
      </c>
      <c r="L1313">
        <v>551</v>
      </c>
      <c r="M1313">
        <v>13.63</v>
      </c>
    </row>
    <row r="1314" spans="1:13">
      <c r="A1314" s="216">
        <v>5460</v>
      </c>
      <c r="H1314" s="238">
        <v>0</v>
      </c>
      <c r="J1314" s="228">
        <v>0</v>
      </c>
      <c r="L1314">
        <v>551</v>
      </c>
      <c r="M1314">
        <v>13.56</v>
      </c>
    </row>
    <row r="1315" spans="1:13">
      <c r="A1315" s="216">
        <v>5464</v>
      </c>
      <c r="H1315" s="238">
        <v>0</v>
      </c>
      <c r="J1315" s="228">
        <v>0</v>
      </c>
      <c r="L1315">
        <v>551</v>
      </c>
      <c r="M1315">
        <v>13.5</v>
      </c>
    </row>
    <row r="1316" spans="1:13">
      <c r="A1316" s="216">
        <v>5465</v>
      </c>
      <c r="H1316" s="238">
        <v>0</v>
      </c>
      <c r="J1316" s="228">
        <v>0</v>
      </c>
      <c r="L1316">
        <v>551</v>
      </c>
      <c r="M1316">
        <v>13.43</v>
      </c>
    </row>
    <row r="1317" spans="1:13">
      <c r="A1317" s="216">
        <v>5468</v>
      </c>
      <c r="C1317">
        <v>-1</v>
      </c>
      <c r="H1317" s="238">
        <v>0</v>
      </c>
      <c r="J1317" s="228">
        <v>0</v>
      </c>
      <c r="L1317">
        <v>551</v>
      </c>
      <c r="M1317">
        <v>13.36</v>
      </c>
    </row>
    <row r="1318" spans="1:13">
      <c r="A1318" s="216">
        <v>5474</v>
      </c>
      <c r="C1318">
        <v>78</v>
      </c>
      <c r="D1318">
        <v>605</v>
      </c>
      <c r="E1318">
        <v>2</v>
      </c>
      <c r="F1318">
        <v>617</v>
      </c>
      <c r="G1318">
        <v>0</v>
      </c>
      <c r="H1318" s="238">
        <v>0</v>
      </c>
      <c r="J1318" s="228">
        <v>0</v>
      </c>
      <c r="L1318">
        <v>551</v>
      </c>
      <c r="M1318">
        <v>13.3</v>
      </c>
    </row>
    <row r="1319" spans="1:13">
      <c r="A1319" s="216">
        <v>5475</v>
      </c>
      <c r="C1319">
        <v>-77</v>
      </c>
      <c r="H1319" s="238">
        <v>0</v>
      </c>
      <c r="J1319" s="228">
        <v>0</v>
      </c>
      <c r="L1319">
        <v>551</v>
      </c>
      <c r="M1319">
        <v>13.23</v>
      </c>
    </row>
    <row r="1320" spans="1:13">
      <c r="A1320" s="216">
        <v>5478</v>
      </c>
      <c r="C1320">
        <v>12</v>
      </c>
      <c r="D1320">
        <v>4903</v>
      </c>
      <c r="E1320">
        <v>266</v>
      </c>
      <c r="F1320">
        <v>6158</v>
      </c>
      <c r="G1320">
        <v>0</v>
      </c>
      <c r="H1320" s="238">
        <v>0</v>
      </c>
      <c r="J1320" s="228">
        <v>0</v>
      </c>
      <c r="L1320">
        <v>551</v>
      </c>
      <c r="M1320">
        <v>13.17</v>
      </c>
    </row>
    <row r="1321" spans="1:13">
      <c r="A1321" s="216">
        <v>5481</v>
      </c>
      <c r="C1321">
        <v>-30</v>
      </c>
      <c r="H1321" s="238">
        <v>0</v>
      </c>
      <c r="J1321" s="228">
        <v>0</v>
      </c>
      <c r="L1321">
        <v>551</v>
      </c>
      <c r="M1321">
        <v>13.1</v>
      </c>
    </row>
    <row r="1322" spans="1:13">
      <c r="A1322" s="216">
        <v>5483</v>
      </c>
      <c r="H1322" s="238">
        <v>0</v>
      </c>
      <c r="J1322" s="228">
        <v>0</v>
      </c>
      <c r="L1322">
        <v>551</v>
      </c>
      <c r="M1322">
        <v>13.03</v>
      </c>
    </row>
    <row r="1323" spans="1:13">
      <c r="A1323" s="216">
        <v>5487</v>
      </c>
      <c r="C1323">
        <v>6</v>
      </c>
      <c r="D1323">
        <v>349</v>
      </c>
      <c r="E1323">
        <v>105</v>
      </c>
      <c r="F1323">
        <v>480</v>
      </c>
      <c r="G1323">
        <v>0</v>
      </c>
      <c r="H1323" s="238">
        <v>0</v>
      </c>
      <c r="J1323" s="228">
        <v>0</v>
      </c>
      <c r="L1323">
        <v>551</v>
      </c>
      <c r="M1323">
        <v>12.97</v>
      </c>
    </row>
    <row r="1324" spans="1:13">
      <c r="A1324" s="216">
        <v>5488</v>
      </c>
      <c r="H1324" s="238">
        <v>0</v>
      </c>
      <c r="J1324" s="228">
        <v>0</v>
      </c>
      <c r="L1324">
        <v>551</v>
      </c>
      <c r="M1324">
        <v>12.9</v>
      </c>
    </row>
    <row r="1325" spans="1:13">
      <c r="A1325" s="216">
        <v>5490</v>
      </c>
      <c r="C1325">
        <v>89</v>
      </c>
      <c r="D1325">
        <v>1704</v>
      </c>
      <c r="E1325">
        <v>105</v>
      </c>
      <c r="F1325">
        <v>1722</v>
      </c>
      <c r="G1325">
        <v>0</v>
      </c>
      <c r="H1325" s="238">
        <v>0</v>
      </c>
      <c r="J1325" s="228">
        <v>0</v>
      </c>
      <c r="L1325">
        <v>551</v>
      </c>
      <c r="M1325">
        <v>12.84</v>
      </c>
    </row>
    <row r="1326" spans="1:13">
      <c r="A1326" s="216">
        <v>5491</v>
      </c>
      <c r="H1326" s="238">
        <v>0</v>
      </c>
      <c r="J1326" s="228">
        <v>0</v>
      </c>
      <c r="L1326">
        <v>551</v>
      </c>
      <c r="M1326">
        <v>12.77</v>
      </c>
    </row>
    <row r="1327" spans="1:13">
      <c r="A1327" s="216">
        <v>5493</v>
      </c>
      <c r="H1327" s="238">
        <v>0</v>
      </c>
      <c r="J1327" s="228">
        <v>0</v>
      </c>
      <c r="L1327">
        <v>551</v>
      </c>
      <c r="M1327">
        <v>12.71</v>
      </c>
    </row>
    <row r="1328" spans="1:13">
      <c r="A1328" s="216">
        <v>5498</v>
      </c>
      <c r="H1328" s="238">
        <v>0</v>
      </c>
      <c r="J1328" s="228">
        <v>0</v>
      </c>
      <c r="L1328">
        <v>551</v>
      </c>
      <c r="M1328">
        <v>12.64</v>
      </c>
    </row>
    <row r="1329" spans="1:13">
      <c r="A1329" s="216">
        <v>5506</v>
      </c>
      <c r="H1329" s="238">
        <v>0</v>
      </c>
      <c r="J1329" s="228">
        <v>0</v>
      </c>
      <c r="L1329">
        <v>551</v>
      </c>
      <c r="M1329">
        <v>12.57</v>
      </c>
    </row>
    <row r="1330" spans="1:13">
      <c r="A1330" s="216">
        <v>5508</v>
      </c>
      <c r="H1330" s="238">
        <v>0</v>
      </c>
      <c r="J1330" s="228">
        <v>0</v>
      </c>
      <c r="L1330">
        <v>551</v>
      </c>
      <c r="M1330">
        <v>12.51</v>
      </c>
    </row>
    <row r="1331" spans="1:13">
      <c r="A1331" s="216">
        <v>5511</v>
      </c>
      <c r="H1331" s="238">
        <v>0</v>
      </c>
      <c r="J1331" s="228">
        <v>0</v>
      </c>
      <c r="L1331">
        <v>551</v>
      </c>
      <c r="M1331">
        <v>12.44</v>
      </c>
    </row>
    <row r="1332" spans="1:13">
      <c r="A1332" s="216">
        <v>5512</v>
      </c>
      <c r="H1332" s="238">
        <v>0</v>
      </c>
      <c r="J1332" s="228">
        <v>0</v>
      </c>
      <c r="L1332">
        <v>551</v>
      </c>
      <c r="M1332">
        <v>12.38</v>
      </c>
    </row>
    <row r="1333" spans="1:13">
      <c r="A1333" s="216">
        <v>5514</v>
      </c>
      <c r="H1333" s="238">
        <v>0</v>
      </c>
      <c r="J1333" s="228">
        <v>0</v>
      </c>
      <c r="L1333">
        <v>551</v>
      </c>
      <c r="M1333">
        <v>12.31</v>
      </c>
    </row>
    <row r="1334" spans="1:13">
      <c r="A1334" s="216">
        <v>5516</v>
      </c>
      <c r="C1334">
        <v>-1</v>
      </c>
      <c r="H1334" s="238">
        <v>0</v>
      </c>
      <c r="J1334" s="228">
        <v>0</v>
      </c>
      <c r="L1334">
        <v>551</v>
      </c>
      <c r="M1334">
        <v>12.24</v>
      </c>
    </row>
    <row r="1335" spans="1:13">
      <c r="A1335" s="216">
        <v>5520</v>
      </c>
      <c r="H1335" s="238">
        <v>0</v>
      </c>
      <c r="J1335" s="228">
        <v>0</v>
      </c>
      <c r="L1335">
        <v>551</v>
      </c>
      <c r="M1335">
        <v>12.18</v>
      </c>
    </row>
    <row r="1336" spans="1:13">
      <c r="A1336" s="216">
        <v>5523</v>
      </c>
      <c r="C1336">
        <v>-1</v>
      </c>
      <c r="H1336" s="238">
        <v>0</v>
      </c>
      <c r="J1336" s="228">
        <v>0</v>
      </c>
      <c r="L1336">
        <v>551</v>
      </c>
      <c r="M1336">
        <v>12.11</v>
      </c>
    </row>
    <row r="1337" spans="1:13">
      <c r="A1337" s="216">
        <v>5529</v>
      </c>
      <c r="H1337" s="238">
        <v>0</v>
      </c>
      <c r="J1337" s="228">
        <v>0</v>
      </c>
      <c r="L1337">
        <v>551</v>
      </c>
      <c r="M1337">
        <v>12.05</v>
      </c>
    </row>
    <row r="1338" spans="1:13">
      <c r="A1338" s="216">
        <v>5601</v>
      </c>
      <c r="H1338" s="238">
        <v>0</v>
      </c>
      <c r="J1338" s="228">
        <v>0</v>
      </c>
      <c r="L1338">
        <v>551</v>
      </c>
      <c r="M1338">
        <v>11.98</v>
      </c>
    </row>
    <row r="1339" spans="1:13">
      <c r="A1339" s="216">
        <v>5701</v>
      </c>
      <c r="C1339">
        <v>-85</v>
      </c>
      <c r="H1339" s="238">
        <v>0</v>
      </c>
      <c r="J1339" s="228">
        <v>0</v>
      </c>
      <c r="L1339">
        <v>551</v>
      </c>
      <c r="M1339">
        <v>11.92</v>
      </c>
    </row>
    <row r="1340" spans="1:13">
      <c r="A1340" s="216">
        <v>5703</v>
      </c>
      <c r="C1340">
        <v>-3</v>
      </c>
      <c r="H1340" s="238">
        <v>0</v>
      </c>
      <c r="J1340" s="228">
        <v>0</v>
      </c>
      <c r="L1340">
        <v>551</v>
      </c>
      <c r="M1340">
        <v>11.85</v>
      </c>
    </row>
    <row r="1341" spans="1:13">
      <c r="A1341" s="216">
        <v>5704</v>
      </c>
      <c r="C1341">
        <v>12</v>
      </c>
      <c r="D1341">
        <v>136</v>
      </c>
      <c r="E1341">
        <v>319</v>
      </c>
      <c r="F1341">
        <v>460</v>
      </c>
      <c r="G1341">
        <v>0</v>
      </c>
      <c r="H1341" s="238">
        <v>0</v>
      </c>
      <c r="J1341" s="228">
        <v>0</v>
      </c>
      <c r="L1341">
        <v>551</v>
      </c>
      <c r="M1341">
        <v>11.78</v>
      </c>
    </row>
    <row r="1342" spans="1:13">
      <c r="A1342" s="216">
        <v>5878</v>
      </c>
      <c r="H1342" s="238">
        <v>0</v>
      </c>
      <c r="J1342" s="228">
        <v>0</v>
      </c>
      <c r="L1342">
        <v>551</v>
      </c>
      <c r="M1342">
        <v>11.72</v>
      </c>
    </row>
    <row r="1343" spans="1:13">
      <c r="A1343" s="216">
        <v>5905</v>
      </c>
      <c r="H1343" s="238">
        <v>0</v>
      </c>
      <c r="J1343" s="228">
        <v>0</v>
      </c>
      <c r="L1343">
        <v>551</v>
      </c>
      <c r="M1343">
        <v>11.65</v>
      </c>
    </row>
    <row r="1344" spans="1:13">
      <c r="A1344" s="216">
        <v>6101</v>
      </c>
      <c r="C1344">
        <v>-53</v>
      </c>
      <c r="H1344" s="238">
        <v>0</v>
      </c>
      <c r="J1344" s="228">
        <v>0</v>
      </c>
      <c r="L1344">
        <v>551</v>
      </c>
      <c r="M1344">
        <v>11.59</v>
      </c>
    </row>
    <row r="1345" spans="1:13">
      <c r="A1345" s="216">
        <v>6103</v>
      </c>
      <c r="C1345">
        <v>0</v>
      </c>
      <c r="H1345" s="238">
        <v>0</v>
      </c>
      <c r="J1345" s="228">
        <v>0</v>
      </c>
      <c r="L1345">
        <v>551</v>
      </c>
      <c r="M1345">
        <v>11.52</v>
      </c>
    </row>
    <row r="1346" spans="1:13">
      <c r="A1346" s="216">
        <v>6107</v>
      </c>
      <c r="H1346" s="238">
        <v>0</v>
      </c>
      <c r="J1346" s="228">
        <v>0</v>
      </c>
      <c r="L1346">
        <v>551</v>
      </c>
      <c r="M1346">
        <v>11.45</v>
      </c>
    </row>
    <row r="1347" spans="1:13">
      <c r="A1347" s="216">
        <v>6109</v>
      </c>
      <c r="H1347" s="238">
        <v>0</v>
      </c>
      <c r="J1347" s="228">
        <v>0</v>
      </c>
      <c r="L1347">
        <v>551</v>
      </c>
      <c r="M1347">
        <v>11.39</v>
      </c>
    </row>
    <row r="1348" spans="1:13">
      <c r="A1348" s="216">
        <v>6111</v>
      </c>
      <c r="C1348">
        <v>108</v>
      </c>
      <c r="D1348">
        <v>181</v>
      </c>
      <c r="E1348">
        <v>28</v>
      </c>
      <c r="F1348">
        <v>525</v>
      </c>
      <c r="G1348">
        <v>0</v>
      </c>
      <c r="H1348" s="238">
        <v>0</v>
      </c>
      <c r="J1348" s="228">
        <v>0</v>
      </c>
      <c r="L1348">
        <v>551</v>
      </c>
      <c r="M1348">
        <v>11.32</v>
      </c>
    </row>
    <row r="1349" spans="1:13">
      <c r="A1349" s="216">
        <v>6113</v>
      </c>
      <c r="H1349" s="238">
        <v>0</v>
      </c>
      <c r="J1349" s="228">
        <v>0</v>
      </c>
      <c r="L1349">
        <v>551</v>
      </c>
      <c r="M1349">
        <v>11.26</v>
      </c>
    </row>
    <row r="1350" spans="1:13">
      <c r="A1350" s="216">
        <v>6114</v>
      </c>
      <c r="H1350" s="238">
        <v>0</v>
      </c>
      <c r="J1350" s="228">
        <v>0</v>
      </c>
      <c r="L1350">
        <v>551</v>
      </c>
      <c r="M1350">
        <v>11.19</v>
      </c>
    </row>
    <row r="1351" spans="1:13">
      <c r="A1351" s="216">
        <v>6118</v>
      </c>
      <c r="H1351" s="238">
        <v>0</v>
      </c>
      <c r="J1351" s="228">
        <v>0</v>
      </c>
      <c r="L1351">
        <v>551</v>
      </c>
      <c r="M1351">
        <v>11.13</v>
      </c>
    </row>
    <row r="1352" spans="1:13">
      <c r="A1352" s="216">
        <v>6122</v>
      </c>
      <c r="H1352" s="238">
        <v>0</v>
      </c>
      <c r="J1352" s="228">
        <v>0</v>
      </c>
      <c r="L1352">
        <v>551</v>
      </c>
      <c r="M1352">
        <v>11.06</v>
      </c>
    </row>
    <row r="1353" spans="1:13">
      <c r="A1353" s="216">
        <v>6123</v>
      </c>
      <c r="H1353" s="238">
        <v>0</v>
      </c>
      <c r="J1353" s="228">
        <v>0</v>
      </c>
      <c r="L1353">
        <v>551</v>
      </c>
      <c r="M1353">
        <v>10.99</v>
      </c>
    </row>
    <row r="1354" spans="1:13">
      <c r="A1354" s="216">
        <v>6124</v>
      </c>
      <c r="H1354" s="238">
        <v>0</v>
      </c>
      <c r="J1354" s="228">
        <v>0</v>
      </c>
      <c r="L1354">
        <v>551</v>
      </c>
      <c r="M1354">
        <v>10.93</v>
      </c>
    </row>
    <row r="1355" spans="1:13">
      <c r="A1355" s="216">
        <v>6125</v>
      </c>
      <c r="C1355">
        <v>31</v>
      </c>
      <c r="D1355">
        <v>1380</v>
      </c>
      <c r="E1355">
        <v>5651</v>
      </c>
      <c r="F1355">
        <v>8548</v>
      </c>
      <c r="G1355">
        <v>1910</v>
      </c>
      <c r="H1355" s="238">
        <v>0</v>
      </c>
      <c r="J1355" s="228">
        <v>0</v>
      </c>
      <c r="L1355">
        <v>551</v>
      </c>
      <c r="M1355">
        <v>10.86</v>
      </c>
    </row>
    <row r="1356" spans="1:13">
      <c r="A1356" s="216">
        <v>6126</v>
      </c>
      <c r="H1356" s="238">
        <v>0</v>
      </c>
      <c r="J1356" s="228">
        <v>0</v>
      </c>
      <c r="L1356">
        <v>551</v>
      </c>
      <c r="M1356">
        <v>10.8</v>
      </c>
    </row>
    <row r="1357" spans="1:13">
      <c r="A1357" s="216">
        <v>6129</v>
      </c>
      <c r="C1357">
        <v>-18</v>
      </c>
      <c r="H1357" s="238">
        <v>0</v>
      </c>
      <c r="J1357" s="228">
        <v>0</v>
      </c>
      <c r="L1357">
        <v>551</v>
      </c>
      <c r="M1357">
        <v>10.73</v>
      </c>
    </row>
    <row r="1358" spans="1:13">
      <c r="A1358" s="216">
        <v>6130</v>
      </c>
      <c r="C1358">
        <v>1</v>
      </c>
      <c r="D1358">
        <v>205</v>
      </c>
      <c r="E1358">
        <v>45</v>
      </c>
      <c r="F1358">
        <v>307</v>
      </c>
      <c r="G1358">
        <v>0</v>
      </c>
      <c r="H1358" s="238">
        <v>0</v>
      </c>
      <c r="J1358" s="228">
        <v>0</v>
      </c>
      <c r="L1358">
        <v>551</v>
      </c>
      <c r="M1358">
        <v>10.66</v>
      </c>
    </row>
    <row r="1359" spans="1:13">
      <c r="A1359" s="216">
        <v>6134</v>
      </c>
      <c r="H1359" s="238">
        <v>0</v>
      </c>
      <c r="J1359" s="228">
        <v>0</v>
      </c>
      <c r="L1359">
        <v>551</v>
      </c>
      <c r="M1359">
        <v>10.6</v>
      </c>
    </row>
    <row r="1360" spans="1:13">
      <c r="A1360" s="216">
        <v>6138</v>
      </c>
      <c r="H1360" s="238">
        <v>0</v>
      </c>
      <c r="J1360" s="228">
        <v>0</v>
      </c>
      <c r="L1360">
        <v>551</v>
      </c>
      <c r="M1360">
        <v>10.53</v>
      </c>
    </row>
    <row r="1361" spans="1:13">
      <c r="A1361" s="216">
        <v>6140</v>
      </c>
      <c r="H1361" s="238">
        <v>0</v>
      </c>
      <c r="J1361" s="228">
        <v>0</v>
      </c>
      <c r="L1361">
        <v>551</v>
      </c>
      <c r="M1361">
        <v>10.47</v>
      </c>
    </row>
    <row r="1362" spans="1:13">
      <c r="A1362" s="216">
        <v>6143</v>
      </c>
      <c r="C1362">
        <v>-6</v>
      </c>
      <c r="H1362" s="238">
        <v>0</v>
      </c>
      <c r="J1362" s="228">
        <v>0</v>
      </c>
      <c r="L1362">
        <v>551</v>
      </c>
      <c r="M1362">
        <v>10.4</v>
      </c>
    </row>
    <row r="1363" spans="1:13">
      <c r="A1363" s="216">
        <v>6144</v>
      </c>
      <c r="H1363" s="238">
        <v>0</v>
      </c>
      <c r="J1363" s="228">
        <v>0</v>
      </c>
      <c r="L1363">
        <v>551</v>
      </c>
      <c r="M1363">
        <v>10.34</v>
      </c>
    </row>
    <row r="1364" spans="1:13">
      <c r="A1364" s="216">
        <v>6146</v>
      </c>
      <c r="C1364">
        <v>256</v>
      </c>
      <c r="D1364">
        <v>1136</v>
      </c>
      <c r="E1364">
        <v>2012</v>
      </c>
      <c r="F1364">
        <v>3034</v>
      </c>
      <c r="G1364">
        <v>0</v>
      </c>
      <c r="H1364" s="238">
        <v>0</v>
      </c>
      <c r="J1364" s="228">
        <v>0</v>
      </c>
      <c r="L1364">
        <v>551</v>
      </c>
      <c r="M1364">
        <v>10.27</v>
      </c>
    </row>
    <row r="1365" spans="1:13">
      <c r="A1365" s="216">
        <v>6150</v>
      </c>
      <c r="C1365">
        <v>-36</v>
      </c>
      <c r="H1365" s="238">
        <v>0</v>
      </c>
      <c r="J1365" s="228">
        <v>0</v>
      </c>
      <c r="L1365">
        <v>551</v>
      </c>
      <c r="M1365">
        <v>10.199999999999999</v>
      </c>
    </row>
    <row r="1366" spans="1:13">
      <c r="A1366" s="216">
        <v>6151</v>
      </c>
      <c r="H1366" s="238">
        <v>0</v>
      </c>
      <c r="J1366" s="228">
        <v>0</v>
      </c>
      <c r="L1366">
        <v>551</v>
      </c>
      <c r="M1366">
        <v>10.14</v>
      </c>
    </row>
    <row r="1367" spans="1:13">
      <c r="A1367" s="216">
        <v>6154</v>
      </c>
      <c r="H1367" s="238">
        <v>0</v>
      </c>
      <c r="J1367" s="228">
        <v>0</v>
      </c>
      <c r="L1367">
        <v>551</v>
      </c>
      <c r="M1367">
        <v>10.07</v>
      </c>
    </row>
    <row r="1368" spans="1:13">
      <c r="A1368" s="216">
        <v>6158</v>
      </c>
      <c r="H1368" s="238">
        <v>0</v>
      </c>
      <c r="J1368" s="228">
        <v>0</v>
      </c>
      <c r="L1368">
        <v>551</v>
      </c>
      <c r="M1368">
        <v>10.01</v>
      </c>
    </row>
    <row r="1369" spans="1:13">
      <c r="A1369" s="216">
        <v>6160</v>
      </c>
      <c r="C1369">
        <v>-12</v>
      </c>
      <c r="H1369" s="238">
        <v>0</v>
      </c>
      <c r="J1369" s="228">
        <v>0</v>
      </c>
      <c r="L1369">
        <v>551</v>
      </c>
      <c r="M1369">
        <v>9.94</v>
      </c>
    </row>
    <row r="1370" spans="1:13">
      <c r="A1370" s="216">
        <v>6163</v>
      </c>
      <c r="H1370" s="238">
        <v>0</v>
      </c>
      <c r="J1370" s="228">
        <v>0</v>
      </c>
      <c r="L1370">
        <v>551</v>
      </c>
      <c r="M1370">
        <v>9.8699999999999992</v>
      </c>
    </row>
    <row r="1371" spans="1:13">
      <c r="A1371" s="216">
        <v>6167</v>
      </c>
      <c r="H1371" s="238">
        <v>0</v>
      </c>
      <c r="J1371" s="228">
        <v>0</v>
      </c>
      <c r="L1371">
        <v>551</v>
      </c>
      <c r="M1371">
        <v>9.81</v>
      </c>
    </row>
    <row r="1372" spans="1:13">
      <c r="A1372" s="216">
        <v>6169</v>
      </c>
      <c r="H1372" s="238">
        <v>0</v>
      </c>
      <c r="J1372" s="228">
        <v>0</v>
      </c>
      <c r="L1372">
        <v>551</v>
      </c>
      <c r="M1372">
        <v>9.74</v>
      </c>
    </row>
    <row r="1373" spans="1:13">
      <c r="A1373" s="216">
        <v>6170</v>
      </c>
      <c r="H1373" s="238">
        <v>0</v>
      </c>
      <c r="J1373" s="228">
        <v>0</v>
      </c>
      <c r="L1373">
        <v>551</v>
      </c>
      <c r="M1373">
        <v>9.68</v>
      </c>
    </row>
    <row r="1374" spans="1:13">
      <c r="A1374" s="216">
        <v>6171</v>
      </c>
      <c r="C1374">
        <v>-6</v>
      </c>
      <c r="H1374" s="238">
        <v>0</v>
      </c>
      <c r="J1374" s="228">
        <v>0</v>
      </c>
      <c r="L1374">
        <v>551</v>
      </c>
      <c r="M1374">
        <v>9.61</v>
      </c>
    </row>
    <row r="1375" spans="1:13">
      <c r="A1375" s="216">
        <v>6175</v>
      </c>
      <c r="H1375" s="238">
        <v>0</v>
      </c>
      <c r="J1375" s="228">
        <v>0</v>
      </c>
      <c r="L1375">
        <v>551</v>
      </c>
      <c r="M1375">
        <v>9.5500000000000007</v>
      </c>
    </row>
    <row r="1376" spans="1:13">
      <c r="A1376" s="216">
        <v>6179</v>
      </c>
      <c r="C1376">
        <v>46</v>
      </c>
      <c r="D1376">
        <v>705</v>
      </c>
      <c r="E1376">
        <v>4</v>
      </c>
      <c r="F1376">
        <v>634</v>
      </c>
      <c r="G1376">
        <v>0</v>
      </c>
      <c r="H1376" s="238">
        <v>0</v>
      </c>
      <c r="J1376" s="228">
        <v>0</v>
      </c>
      <c r="L1376">
        <v>551</v>
      </c>
      <c r="M1376">
        <v>9.48</v>
      </c>
    </row>
    <row r="1377" spans="1:13">
      <c r="A1377" s="216">
        <v>6186</v>
      </c>
      <c r="H1377" s="238">
        <v>0</v>
      </c>
      <c r="J1377" s="228">
        <v>0</v>
      </c>
      <c r="L1377">
        <v>551</v>
      </c>
      <c r="M1377">
        <v>9.41</v>
      </c>
    </row>
    <row r="1378" spans="1:13">
      <c r="A1378" s="216">
        <v>6187</v>
      </c>
      <c r="H1378" s="238">
        <v>0</v>
      </c>
      <c r="J1378" s="228">
        <v>0</v>
      </c>
      <c r="L1378">
        <v>551</v>
      </c>
      <c r="M1378">
        <v>9.35</v>
      </c>
    </row>
    <row r="1379" spans="1:13">
      <c r="A1379" s="216">
        <v>6190</v>
      </c>
      <c r="H1379" s="238">
        <v>0</v>
      </c>
      <c r="J1379" s="228">
        <v>0</v>
      </c>
      <c r="L1379">
        <v>551</v>
      </c>
      <c r="M1379">
        <v>9.2799999999999994</v>
      </c>
    </row>
    <row r="1380" spans="1:13">
      <c r="A1380" s="216">
        <v>6194</v>
      </c>
      <c r="C1380">
        <v>-22</v>
      </c>
      <c r="H1380" s="238">
        <v>0</v>
      </c>
      <c r="J1380" s="228">
        <v>0</v>
      </c>
      <c r="L1380">
        <v>551</v>
      </c>
      <c r="M1380">
        <v>9.2200000000000006</v>
      </c>
    </row>
    <row r="1381" spans="1:13">
      <c r="A1381" s="216">
        <v>6195</v>
      </c>
      <c r="H1381" s="238">
        <v>0</v>
      </c>
      <c r="J1381" s="228">
        <v>0</v>
      </c>
      <c r="L1381">
        <v>551</v>
      </c>
      <c r="M1381">
        <v>9.15</v>
      </c>
    </row>
    <row r="1382" spans="1:13">
      <c r="A1382" s="216">
        <v>6198</v>
      </c>
      <c r="H1382" s="238">
        <v>0</v>
      </c>
      <c r="J1382" s="228">
        <v>0</v>
      </c>
      <c r="L1382">
        <v>551</v>
      </c>
      <c r="M1382">
        <v>9.08</v>
      </c>
    </row>
    <row r="1383" spans="1:13">
      <c r="A1383" s="216">
        <v>6199</v>
      </c>
      <c r="H1383" s="238">
        <v>0</v>
      </c>
      <c r="J1383" s="228">
        <v>0</v>
      </c>
      <c r="L1383">
        <v>551</v>
      </c>
      <c r="M1383">
        <v>9.02</v>
      </c>
    </row>
    <row r="1384" spans="1:13">
      <c r="A1384" s="216">
        <v>6203</v>
      </c>
      <c r="H1384" s="238">
        <v>0</v>
      </c>
      <c r="J1384" s="228">
        <v>0</v>
      </c>
      <c r="L1384">
        <v>551</v>
      </c>
      <c r="M1384">
        <v>8.9499999999999993</v>
      </c>
    </row>
    <row r="1385" spans="1:13">
      <c r="A1385" s="216">
        <v>6204</v>
      </c>
      <c r="C1385">
        <v>6</v>
      </c>
      <c r="D1385">
        <v>682</v>
      </c>
      <c r="E1385">
        <v>210</v>
      </c>
      <c r="F1385">
        <v>884</v>
      </c>
      <c r="G1385">
        <v>0</v>
      </c>
      <c r="H1385" s="238">
        <v>0</v>
      </c>
      <c r="J1385" s="228">
        <v>0</v>
      </c>
      <c r="L1385">
        <v>551</v>
      </c>
      <c r="M1385">
        <v>8.89</v>
      </c>
    </row>
    <row r="1386" spans="1:13">
      <c r="A1386" s="216">
        <v>6208</v>
      </c>
      <c r="H1386" s="238">
        <v>0</v>
      </c>
      <c r="J1386" s="228">
        <v>0</v>
      </c>
      <c r="L1386">
        <v>551</v>
      </c>
      <c r="M1386">
        <v>8.82</v>
      </c>
    </row>
    <row r="1387" spans="1:13">
      <c r="A1387" s="216">
        <v>6211</v>
      </c>
      <c r="H1387" s="238">
        <v>0</v>
      </c>
      <c r="J1387" s="228">
        <v>0</v>
      </c>
      <c r="L1387">
        <v>551</v>
      </c>
      <c r="M1387">
        <v>8.76</v>
      </c>
    </row>
    <row r="1388" spans="1:13">
      <c r="A1388" s="216">
        <v>6212</v>
      </c>
      <c r="H1388" s="238">
        <v>0</v>
      </c>
      <c r="J1388" s="228">
        <v>0</v>
      </c>
      <c r="L1388">
        <v>551</v>
      </c>
      <c r="M1388">
        <v>8.69</v>
      </c>
    </row>
    <row r="1389" spans="1:13">
      <c r="A1389" s="216">
        <v>6217</v>
      </c>
      <c r="C1389">
        <v>65</v>
      </c>
      <c r="D1389">
        <v>1018</v>
      </c>
      <c r="E1389">
        <v>304</v>
      </c>
      <c r="F1389">
        <v>1380</v>
      </c>
      <c r="G1389">
        <v>0</v>
      </c>
      <c r="H1389" s="238">
        <v>0</v>
      </c>
      <c r="J1389" s="228">
        <v>0</v>
      </c>
      <c r="L1389">
        <v>551</v>
      </c>
      <c r="M1389">
        <v>8.6199999999999992</v>
      </c>
    </row>
    <row r="1390" spans="1:13">
      <c r="A1390" s="216">
        <v>6219</v>
      </c>
      <c r="H1390" s="238">
        <v>0</v>
      </c>
      <c r="J1390" s="228">
        <v>0</v>
      </c>
      <c r="L1390">
        <v>551</v>
      </c>
      <c r="M1390">
        <v>8.56</v>
      </c>
    </row>
    <row r="1391" spans="1:13">
      <c r="A1391" s="216">
        <v>6220</v>
      </c>
      <c r="H1391" s="238">
        <v>0</v>
      </c>
      <c r="J1391" s="228">
        <v>0</v>
      </c>
      <c r="L1391">
        <v>551</v>
      </c>
      <c r="M1391">
        <v>8.49</v>
      </c>
    </row>
    <row r="1392" spans="1:13">
      <c r="A1392" s="216">
        <v>6221</v>
      </c>
      <c r="H1392" s="238">
        <v>0</v>
      </c>
      <c r="J1392" s="228">
        <v>0</v>
      </c>
      <c r="L1392">
        <v>551</v>
      </c>
      <c r="M1392">
        <v>8.43</v>
      </c>
    </row>
    <row r="1393" spans="1:13">
      <c r="A1393" s="216">
        <v>6222</v>
      </c>
      <c r="H1393" s="238">
        <v>0</v>
      </c>
      <c r="J1393" s="228">
        <v>0</v>
      </c>
      <c r="L1393">
        <v>551</v>
      </c>
      <c r="M1393">
        <v>8.36</v>
      </c>
    </row>
    <row r="1394" spans="1:13">
      <c r="A1394" s="216">
        <v>6223</v>
      </c>
      <c r="H1394" s="238">
        <v>0</v>
      </c>
      <c r="J1394" s="228">
        <v>0</v>
      </c>
      <c r="L1394">
        <v>551</v>
      </c>
      <c r="M1394">
        <v>8.2899999999999991</v>
      </c>
    </row>
    <row r="1395" spans="1:13">
      <c r="A1395" s="216">
        <v>6227</v>
      </c>
      <c r="H1395" s="238">
        <v>0</v>
      </c>
      <c r="J1395" s="228">
        <v>0</v>
      </c>
      <c r="L1395">
        <v>551</v>
      </c>
      <c r="M1395">
        <v>8.23</v>
      </c>
    </row>
    <row r="1396" spans="1:13">
      <c r="A1396" s="216">
        <v>6228</v>
      </c>
      <c r="H1396" s="238">
        <v>0</v>
      </c>
      <c r="J1396" s="228">
        <v>0</v>
      </c>
      <c r="L1396">
        <v>551</v>
      </c>
      <c r="M1396">
        <v>8.16</v>
      </c>
    </row>
    <row r="1397" spans="1:13">
      <c r="A1397" s="216">
        <v>6229</v>
      </c>
      <c r="H1397" s="238">
        <v>0</v>
      </c>
      <c r="J1397" s="228">
        <v>0</v>
      </c>
      <c r="L1397">
        <v>551</v>
      </c>
      <c r="M1397">
        <v>8.1</v>
      </c>
    </row>
    <row r="1398" spans="1:13">
      <c r="A1398" s="216">
        <v>6231</v>
      </c>
      <c r="C1398">
        <v>-2</v>
      </c>
      <c r="H1398" s="238">
        <v>0</v>
      </c>
      <c r="J1398" s="228">
        <v>0</v>
      </c>
      <c r="L1398">
        <v>551</v>
      </c>
      <c r="M1398">
        <v>8.0299999999999994</v>
      </c>
    </row>
    <row r="1399" spans="1:13">
      <c r="A1399" s="216">
        <v>6233</v>
      </c>
      <c r="H1399" s="238">
        <v>0</v>
      </c>
      <c r="J1399" s="228">
        <v>0</v>
      </c>
      <c r="L1399">
        <v>551</v>
      </c>
      <c r="M1399">
        <v>7.97</v>
      </c>
    </row>
    <row r="1400" spans="1:13">
      <c r="A1400" s="216">
        <v>6234</v>
      </c>
      <c r="C1400">
        <v>-8</v>
      </c>
      <c r="H1400" s="238">
        <v>0</v>
      </c>
      <c r="J1400" s="228">
        <v>0</v>
      </c>
      <c r="L1400">
        <v>551</v>
      </c>
      <c r="M1400">
        <v>7.9</v>
      </c>
    </row>
    <row r="1401" spans="1:13">
      <c r="A1401" s="216">
        <v>6236</v>
      </c>
      <c r="C1401">
        <v>-13</v>
      </c>
      <c r="H1401" s="238">
        <v>0</v>
      </c>
      <c r="J1401" s="228">
        <v>0</v>
      </c>
      <c r="L1401">
        <v>551</v>
      </c>
      <c r="M1401">
        <v>7.83</v>
      </c>
    </row>
    <row r="1402" spans="1:13">
      <c r="A1402" s="216">
        <v>6237</v>
      </c>
      <c r="H1402" s="238">
        <v>0</v>
      </c>
      <c r="J1402" s="228">
        <v>0</v>
      </c>
      <c r="L1402">
        <v>551</v>
      </c>
      <c r="M1402">
        <v>7.77</v>
      </c>
    </row>
    <row r="1403" spans="1:13">
      <c r="A1403" s="216">
        <v>6240</v>
      </c>
      <c r="H1403" s="238">
        <v>0</v>
      </c>
      <c r="J1403" s="228">
        <v>0</v>
      </c>
      <c r="L1403">
        <v>551</v>
      </c>
      <c r="M1403">
        <v>7.7</v>
      </c>
    </row>
    <row r="1404" spans="1:13">
      <c r="A1404" s="216">
        <v>6241</v>
      </c>
      <c r="C1404">
        <v>-4</v>
      </c>
      <c r="H1404" s="238">
        <v>0</v>
      </c>
      <c r="J1404" s="228">
        <v>0</v>
      </c>
      <c r="L1404">
        <v>551</v>
      </c>
      <c r="M1404">
        <v>7.64</v>
      </c>
    </row>
    <row r="1405" spans="1:13">
      <c r="A1405" s="216">
        <v>6242</v>
      </c>
      <c r="H1405" s="238">
        <v>0</v>
      </c>
      <c r="J1405" s="228">
        <v>0</v>
      </c>
      <c r="L1405">
        <v>551</v>
      </c>
      <c r="M1405">
        <v>7.57</v>
      </c>
    </row>
    <row r="1406" spans="1:13">
      <c r="A1406" s="216">
        <v>6246</v>
      </c>
      <c r="H1406" s="238">
        <v>0</v>
      </c>
      <c r="J1406" s="228">
        <v>0</v>
      </c>
      <c r="L1406">
        <v>551</v>
      </c>
      <c r="M1406">
        <v>7.5</v>
      </c>
    </row>
    <row r="1407" spans="1:13">
      <c r="A1407" s="216">
        <v>6248</v>
      </c>
      <c r="H1407" s="238">
        <v>0</v>
      </c>
      <c r="J1407" s="228">
        <v>0</v>
      </c>
      <c r="L1407">
        <v>551</v>
      </c>
      <c r="M1407">
        <v>7.44</v>
      </c>
    </row>
    <row r="1408" spans="1:13">
      <c r="A1408" s="216">
        <v>6250</v>
      </c>
      <c r="C1408">
        <v>-44</v>
      </c>
      <c r="H1408" s="238">
        <v>0</v>
      </c>
      <c r="J1408" s="228">
        <v>0</v>
      </c>
      <c r="L1408">
        <v>551</v>
      </c>
      <c r="M1408">
        <v>7.37</v>
      </c>
    </row>
    <row r="1409" spans="1:13">
      <c r="A1409" s="216">
        <v>6259</v>
      </c>
      <c r="H1409" s="238">
        <v>0</v>
      </c>
      <c r="J1409" s="228">
        <v>0</v>
      </c>
      <c r="L1409">
        <v>551</v>
      </c>
      <c r="M1409">
        <v>7.31</v>
      </c>
    </row>
    <row r="1410" spans="1:13">
      <c r="A1410" s="216">
        <v>6263</v>
      </c>
      <c r="C1410">
        <v>70</v>
      </c>
      <c r="D1410">
        <v>1073</v>
      </c>
      <c r="E1410">
        <v>17</v>
      </c>
      <c r="F1410">
        <v>1103</v>
      </c>
      <c r="G1410">
        <v>0</v>
      </c>
      <c r="H1410" s="238">
        <v>0</v>
      </c>
      <c r="J1410" s="228">
        <v>0</v>
      </c>
      <c r="L1410">
        <v>551</v>
      </c>
      <c r="M1410">
        <v>7.24</v>
      </c>
    </row>
    <row r="1411" spans="1:13">
      <c r="A1411" s="216">
        <v>6264</v>
      </c>
      <c r="H1411" s="238">
        <v>0</v>
      </c>
      <c r="J1411" s="228">
        <v>0</v>
      </c>
      <c r="L1411">
        <v>551</v>
      </c>
      <c r="M1411">
        <v>7.18</v>
      </c>
    </row>
    <row r="1412" spans="1:13">
      <c r="A1412" s="216">
        <v>6265</v>
      </c>
      <c r="H1412" s="238">
        <v>0</v>
      </c>
      <c r="J1412" s="228">
        <v>0</v>
      </c>
      <c r="L1412">
        <v>551</v>
      </c>
      <c r="M1412">
        <v>7.11</v>
      </c>
    </row>
    <row r="1413" spans="1:13">
      <c r="A1413" s="216">
        <v>6266</v>
      </c>
      <c r="C1413">
        <v>2</v>
      </c>
      <c r="D1413">
        <v>891</v>
      </c>
      <c r="E1413">
        <v>523</v>
      </c>
      <c r="F1413">
        <v>1371</v>
      </c>
      <c r="G1413">
        <v>0</v>
      </c>
      <c r="H1413" s="238">
        <v>0</v>
      </c>
      <c r="J1413" s="228">
        <v>0</v>
      </c>
      <c r="L1413">
        <v>551</v>
      </c>
      <c r="M1413">
        <v>7.04</v>
      </c>
    </row>
    <row r="1414" spans="1:13">
      <c r="A1414" s="216">
        <v>6270</v>
      </c>
      <c r="H1414" s="238">
        <v>0</v>
      </c>
      <c r="J1414" s="228">
        <v>0</v>
      </c>
      <c r="L1414">
        <v>551</v>
      </c>
      <c r="M1414">
        <v>6.98</v>
      </c>
    </row>
    <row r="1415" spans="1:13">
      <c r="A1415" s="216">
        <v>6275</v>
      </c>
      <c r="H1415" s="238">
        <v>0</v>
      </c>
      <c r="J1415" s="228">
        <v>0</v>
      </c>
      <c r="L1415">
        <v>551</v>
      </c>
      <c r="M1415">
        <v>6.91</v>
      </c>
    </row>
    <row r="1416" spans="1:13">
      <c r="A1416" s="216">
        <v>6276</v>
      </c>
      <c r="H1416" s="238">
        <v>0</v>
      </c>
      <c r="J1416" s="228">
        <v>0</v>
      </c>
      <c r="L1416">
        <v>551</v>
      </c>
      <c r="M1416">
        <v>6.85</v>
      </c>
    </row>
    <row r="1417" spans="1:13">
      <c r="A1417" s="216">
        <v>6279</v>
      </c>
      <c r="H1417" s="238">
        <v>0</v>
      </c>
      <c r="J1417" s="228">
        <v>0</v>
      </c>
      <c r="L1417">
        <v>551</v>
      </c>
      <c r="M1417">
        <v>6.78</v>
      </c>
    </row>
    <row r="1418" spans="1:13">
      <c r="A1418" s="216">
        <v>6284</v>
      </c>
      <c r="H1418" s="238">
        <v>0</v>
      </c>
      <c r="J1418" s="228">
        <v>0</v>
      </c>
      <c r="L1418">
        <v>551</v>
      </c>
      <c r="M1418">
        <v>6.71</v>
      </c>
    </row>
    <row r="1419" spans="1:13">
      <c r="A1419" s="216">
        <v>6287</v>
      </c>
      <c r="H1419" s="238">
        <v>0</v>
      </c>
      <c r="J1419" s="228">
        <v>0</v>
      </c>
      <c r="L1419">
        <v>551</v>
      </c>
      <c r="M1419">
        <v>6.65</v>
      </c>
    </row>
    <row r="1420" spans="1:13">
      <c r="A1420" s="216">
        <v>6290</v>
      </c>
      <c r="H1420" s="238">
        <v>0</v>
      </c>
      <c r="J1420" s="228">
        <v>0</v>
      </c>
      <c r="L1420">
        <v>551</v>
      </c>
      <c r="M1420">
        <v>6.58</v>
      </c>
    </row>
    <row r="1421" spans="1:13">
      <c r="A1421" s="216">
        <v>6291</v>
      </c>
      <c r="C1421">
        <v>-12</v>
      </c>
      <c r="H1421" s="238">
        <v>0</v>
      </c>
      <c r="J1421" s="228">
        <v>0</v>
      </c>
      <c r="L1421">
        <v>551</v>
      </c>
      <c r="M1421">
        <v>6.52</v>
      </c>
    </row>
    <row r="1422" spans="1:13">
      <c r="A1422" s="216">
        <v>6292</v>
      </c>
      <c r="H1422" s="238">
        <v>0</v>
      </c>
      <c r="J1422" s="228">
        <v>0</v>
      </c>
      <c r="L1422">
        <v>551</v>
      </c>
      <c r="M1422">
        <v>6.45</v>
      </c>
    </row>
    <row r="1423" spans="1:13">
      <c r="A1423" s="216">
        <v>6294</v>
      </c>
      <c r="C1423">
        <v>18</v>
      </c>
      <c r="D1423">
        <v>3</v>
      </c>
      <c r="E1423">
        <v>34</v>
      </c>
      <c r="F1423">
        <v>265</v>
      </c>
      <c r="G1423">
        <v>0</v>
      </c>
      <c r="H1423" s="238">
        <v>0</v>
      </c>
      <c r="J1423" s="228">
        <v>0</v>
      </c>
      <c r="L1423">
        <v>551</v>
      </c>
      <c r="M1423">
        <v>6.39</v>
      </c>
    </row>
    <row r="1424" spans="1:13">
      <c r="A1424" s="216">
        <v>6298</v>
      </c>
      <c r="H1424" s="238">
        <v>0</v>
      </c>
      <c r="J1424" s="228">
        <v>0</v>
      </c>
      <c r="L1424">
        <v>551</v>
      </c>
      <c r="M1424">
        <v>6.32</v>
      </c>
    </row>
    <row r="1425" spans="1:13">
      <c r="A1425" s="216">
        <v>6404</v>
      </c>
      <c r="C1425">
        <v>4</v>
      </c>
      <c r="D1425">
        <v>801</v>
      </c>
      <c r="E1425">
        <v>0</v>
      </c>
      <c r="F1425">
        <v>1507</v>
      </c>
      <c r="G1425">
        <v>0</v>
      </c>
      <c r="H1425" s="238">
        <v>0</v>
      </c>
      <c r="J1425" s="228">
        <v>0</v>
      </c>
      <c r="L1425">
        <v>551</v>
      </c>
      <c r="M1425">
        <v>6.25</v>
      </c>
    </row>
    <row r="1426" spans="1:13">
      <c r="A1426" s="216">
        <v>6417</v>
      </c>
      <c r="H1426" s="238">
        <v>0</v>
      </c>
      <c r="J1426" s="228">
        <v>0</v>
      </c>
      <c r="L1426">
        <v>551</v>
      </c>
      <c r="M1426">
        <v>6.19</v>
      </c>
    </row>
    <row r="1427" spans="1:13">
      <c r="A1427" s="216">
        <v>6419</v>
      </c>
      <c r="H1427" s="238">
        <v>0</v>
      </c>
      <c r="J1427" s="228">
        <v>0</v>
      </c>
      <c r="L1427">
        <v>551</v>
      </c>
      <c r="M1427">
        <v>6.12</v>
      </c>
    </row>
    <row r="1428" spans="1:13">
      <c r="A1428" s="216">
        <v>6432</v>
      </c>
      <c r="H1428" s="238">
        <v>0</v>
      </c>
      <c r="J1428" s="228">
        <v>0</v>
      </c>
      <c r="L1428">
        <v>551</v>
      </c>
      <c r="M1428">
        <v>6.06</v>
      </c>
    </row>
    <row r="1429" spans="1:13">
      <c r="A1429" s="216">
        <v>6457</v>
      </c>
      <c r="H1429" s="238">
        <v>0</v>
      </c>
      <c r="J1429" s="228">
        <v>0</v>
      </c>
      <c r="L1429">
        <v>551</v>
      </c>
      <c r="M1429">
        <v>5.99</v>
      </c>
    </row>
    <row r="1430" spans="1:13">
      <c r="A1430" s="216">
        <v>6506</v>
      </c>
      <c r="H1430" s="238">
        <v>0</v>
      </c>
      <c r="J1430" s="228">
        <v>0</v>
      </c>
      <c r="L1430">
        <v>551</v>
      </c>
      <c r="M1430">
        <v>5.92</v>
      </c>
    </row>
    <row r="1431" spans="1:13">
      <c r="A1431" s="216">
        <v>6509</v>
      </c>
      <c r="H1431" s="238">
        <v>0</v>
      </c>
      <c r="J1431" s="228">
        <v>0</v>
      </c>
      <c r="L1431">
        <v>551</v>
      </c>
      <c r="M1431">
        <v>5.86</v>
      </c>
    </row>
    <row r="1432" spans="1:13">
      <c r="A1432" s="216">
        <v>6603</v>
      </c>
      <c r="H1432" s="238">
        <v>0</v>
      </c>
      <c r="J1432" s="228">
        <v>0</v>
      </c>
      <c r="L1432">
        <v>551</v>
      </c>
      <c r="M1432">
        <v>5.79</v>
      </c>
    </row>
    <row r="1433" spans="1:13">
      <c r="A1433" s="216">
        <v>6609</v>
      </c>
      <c r="H1433" s="238">
        <v>0</v>
      </c>
      <c r="J1433" s="228">
        <v>0</v>
      </c>
      <c r="L1433">
        <v>551</v>
      </c>
      <c r="M1433">
        <v>5.73</v>
      </c>
    </row>
    <row r="1434" spans="1:13">
      <c r="A1434" s="216">
        <v>8024</v>
      </c>
      <c r="C1434">
        <v>-8</v>
      </c>
      <c r="H1434" s="238">
        <v>0</v>
      </c>
      <c r="J1434" s="228">
        <v>0</v>
      </c>
      <c r="L1434">
        <v>551</v>
      </c>
      <c r="M1434">
        <v>5.66</v>
      </c>
    </row>
    <row r="1435" spans="1:13">
      <c r="A1435" s="216">
        <v>8027</v>
      </c>
      <c r="H1435" s="238">
        <v>0</v>
      </c>
      <c r="J1435" s="228">
        <v>0</v>
      </c>
      <c r="L1435">
        <v>551</v>
      </c>
      <c r="M1435">
        <v>5.6</v>
      </c>
    </row>
    <row r="1436" spans="1:13">
      <c r="A1436" s="216">
        <v>8032</v>
      </c>
      <c r="H1436" s="238">
        <v>0</v>
      </c>
      <c r="J1436" s="228">
        <v>0</v>
      </c>
      <c r="L1436">
        <v>551</v>
      </c>
      <c r="M1436">
        <v>5.53</v>
      </c>
    </row>
    <row r="1437" spans="1:13">
      <c r="A1437" s="216">
        <v>8034</v>
      </c>
      <c r="C1437">
        <v>-10</v>
      </c>
      <c r="H1437" s="238">
        <v>0</v>
      </c>
      <c r="J1437" s="228">
        <v>0</v>
      </c>
      <c r="L1437">
        <v>551</v>
      </c>
      <c r="M1437">
        <v>5.46</v>
      </c>
    </row>
    <row r="1438" spans="1:13">
      <c r="A1438" s="216">
        <v>8038</v>
      </c>
      <c r="C1438">
        <v>-34</v>
      </c>
      <c r="H1438" s="238">
        <v>0</v>
      </c>
      <c r="J1438" s="228">
        <v>0</v>
      </c>
      <c r="L1438">
        <v>551</v>
      </c>
      <c r="M1438">
        <v>5.4</v>
      </c>
    </row>
    <row r="1439" spans="1:13">
      <c r="A1439" s="216">
        <v>8040</v>
      </c>
      <c r="C1439">
        <v>-31</v>
      </c>
      <c r="H1439" s="238">
        <v>0</v>
      </c>
      <c r="J1439" s="228">
        <v>0</v>
      </c>
      <c r="L1439">
        <v>551</v>
      </c>
      <c r="M1439">
        <v>5.33</v>
      </c>
    </row>
    <row r="1440" spans="1:13">
      <c r="A1440" s="216">
        <v>8042</v>
      </c>
      <c r="H1440" s="238">
        <v>0</v>
      </c>
      <c r="J1440" s="228">
        <v>0</v>
      </c>
      <c r="L1440">
        <v>551</v>
      </c>
      <c r="M1440">
        <v>5.27</v>
      </c>
    </row>
    <row r="1441" spans="1:13">
      <c r="A1441" s="216">
        <v>8043</v>
      </c>
      <c r="C1441">
        <v>29</v>
      </c>
      <c r="D1441">
        <v>2041</v>
      </c>
      <c r="E1441">
        <v>132</v>
      </c>
      <c r="F1441">
        <v>2249</v>
      </c>
      <c r="G1441">
        <v>0</v>
      </c>
      <c r="H1441" s="238">
        <v>0</v>
      </c>
      <c r="J1441" s="228">
        <v>0</v>
      </c>
      <c r="L1441">
        <v>551</v>
      </c>
      <c r="M1441">
        <v>5.2</v>
      </c>
    </row>
    <row r="1442" spans="1:13">
      <c r="A1442" s="216">
        <v>8044</v>
      </c>
      <c r="C1442">
        <v>234</v>
      </c>
      <c r="D1442">
        <v>2658</v>
      </c>
      <c r="E1442">
        <v>258</v>
      </c>
      <c r="F1442">
        <v>3202</v>
      </c>
      <c r="G1442">
        <v>0</v>
      </c>
      <c r="H1442" s="238">
        <v>0</v>
      </c>
      <c r="J1442" s="228">
        <v>0</v>
      </c>
      <c r="L1442">
        <v>551</v>
      </c>
      <c r="M1442">
        <v>5.13</v>
      </c>
    </row>
    <row r="1443" spans="1:13">
      <c r="A1443" s="216">
        <v>8047</v>
      </c>
      <c r="C1443">
        <v>10</v>
      </c>
      <c r="D1443">
        <v>377</v>
      </c>
      <c r="E1443">
        <v>148</v>
      </c>
      <c r="F1443">
        <v>542</v>
      </c>
      <c r="G1443">
        <v>0</v>
      </c>
      <c r="H1443" s="238">
        <v>0</v>
      </c>
      <c r="J1443" s="228">
        <v>0</v>
      </c>
      <c r="L1443">
        <v>551</v>
      </c>
      <c r="M1443">
        <v>5.07</v>
      </c>
    </row>
    <row r="1444" spans="1:13">
      <c r="A1444" s="216">
        <v>8048</v>
      </c>
      <c r="H1444" s="238">
        <v>0</v>
      </c>
      <c r="J1444" s="228">
        <v>0</v>
      </c>
      <c r="L1444">
        <v>551</v>
      </c>
      <c r="M1444">
        <v>5</v>
      </c>
    </row>
    <row r="1445" spans="1:13">
      <c r="A1445" s="216">
        <v>8049</v>
      </c>
      <c r="C1445">
        <v>59</v>
      </c>
      <c r="D1445">
        <v>744</v>
      </c>
      <c r="E1445">
        <v>385</v>
      </c>
      <c r="F1445">
        <v>1349</v>
      </c>
      <c r="G1445">
        <v>0</v>
      </c>
      <c r="H1445" s="238">
        <v>0</v>
      </c>
      <c r="J1445" s="228">
        <v>0</v>
      </c>
      <c r="L1445">
        <v>551</v>
      </c>
      <c r="M1445">
        <v>4.9400000000000004</v>
      </c>
    </row>
    <row r="1446" spans="1:13">
      <c r="A1446" s="216">
        <v>8053</v>
      </c>
      <c r="H1446" s="238">
        <v>0</v>
      </c>
      <c r="J1446" s="228">
        <v>0</v>
      </c>
      <c r="L1446">
        <v>551</v>
      </c>
      <c r="M1446">
        <v>4.87</v>
      </c>
    </row>
    <row r="1447" spans="1:13">
      <c r="A1447" s="216">
        <v>8054</v>
      </c>
      <c r="C1447">
        <v>2</v>
      </c>
      <c r="D1447">
        <v>1826</v>
      </c>
      <c r="E1447">
        <v>66</v>
      </c>
      <c r="F1447">
        <v>2267</v>
      </c>
      <c r="G1447">
        <v>0</v>
      </c>
      <c r="H1447" s="238">
        <v>0</v>
      </c>
      <c r="J1447" s="228">
        <v>0</v>
      </c>
      <c r="L1447">
        <v>551</v>
      </c>
      <c r="M1447">
        <v>4.8099999999999996</v>
      </c>
    </row>
    <row r="1448" spans="1:13">
      <c r="A1448" s="216">
        <v>8059</v>
      </c>
      <c r="H1448" s="238">
        <v>0</v>
      </c>
      <c r="J1448" s="228">
        <v>0</v>
      </c>
      <c r="L1448">
        <v>551</v>
      </c>
      <c r="M1448">
        <v>4.74</v>
      </c>
    </row>
    <row r="1449" spans="1:13">
      <c r="A1449" s="216">
        <v>8064</v>
      </c>
      <c r="H1449" s="238">
        <v>0</v>
      </c>
      <c r="J1449" s="228">
        <v>0</v>
      </c>
      <c r="L1449">
        <v>551</v>
      </c>
      <c r="M1449">
        <v>4.67</v>
      </c>
    </row>
    <row r="1450" spans="1:13">
      <c r="A1450" s="216">
        <v>8066</v>
      </c>
      <c r="H1450" s="238">
        <v>0</v>
      </c>
      <c r="J1450" s="228">
        <v>0</v>
      </c>
      <c r="L1450">
        <v>551</v>
      </c>
      <c r="M1450">
        <v>4.6100000000000003</v>
      </c>
    </row>
    <row r="1451" spans="1:13">
      <c r="A1451" s="216">
        <v>8067</v>
      </c>
      <c r="C1451">
        <v>0</v>
      </c>
      <c r="H1451" s="238">
        <v>0</v>
      </c>
      <c r="J1451" s="228">
        <v>0</v>
      </c>
      <c r="L1451">
        <v>551</v>
      </c>
      <c r="M1451">
        <v>4.54</v>
      </c>
    </row>
    <row r="1452" spans="1:13">
      <c r="A1452" s="216">
        <v>8068</v>
      </c>
      <c r="H1452" s="238">
        <v>0</v>
      </c>
      <c r="J1452" s="228">
        <v>0</v>
      </c>
      <c r="L1452">
        <v>551</v>
      </c>
      <c r="M1452">
        <v>4.4800000000000004</v>
      </c>
    </row>
    <row r="1453" spans="1:13">
      <c r="A1453" s="216">
        <v>8069</v>
      </c>
      <c r="H1453" s="238">
        <v>0</v>
      </c>
      <c r="J1453" s="228">
        <v>0</v>
      </c>
      <c r="L1453">
        <v>551</v>
      </c>
      <c r="M1453">
        <v>4.41</v>
      </c>
    </row>
    <row r="1454" spans="1:13">
      <c r="A1454" s="216">
        <v>8071</v>
      </c>
      <c r="C1454">
        <v>-31</v>
      </c>
      <c r="H1454" s="238">
        <v>0</v>
      </c>
      <c r="J1454" s="228">
        <v>0</v>
      </c>
      <c r="L1454">
        <v>551</v>
      </c>
      <c r="M1454">
        <v>4.34</v>
      </c>
    </row>
    <row r="1455" spans="1:13">
      <c r="A1455" s="216">
        <v>8077</v>
      </c>
      <c r="H1455" s="238">
        <v>0</v>
      </c>
      <c r="J1455" s="228">
        <v>0</v>
      </c>
      <c r="L1455">
        <v>551</v>
      </c>
      <c r="M1455">
        <v>4.28</v>
      </c>
    </row>
    <row r="1456" spans="1:13">
      <c r="A1456" s="216">
        <v>8080</v>
      </c>
      <c r="H1456" s="238">
        <v>0</v>
      </c>
      <c r="J1456" s="228">
        <v>0</v>
      </c>
      <c r="L1456">
        <v>551</v>
      </c>
      <c r="M1456">
        <v>4.21</v>
      </c>
    </row>
    <row r="1457" spans="1:13">
      <c r="A1457" s="216">
        <v>8082</v>
      </c>
      <c r="H1457" s="238">
        <v>0</v>
      </c>
      <c r="J1457" s="228">
        <v>0</v>
      </c>
      <c r="L1457">
        <v>551</v>
      </c>
      <c r="M1457">
        <v>4.1500000000000004</v>
      </c>
    </row>
    <row r="1458" spans="1:13">
      <c r="A1458" s="216">
        <v>8084</v>
      </c>
      <c r="C1458">
        <v>-68</v>
      </c>
      <c r="H1458" s="238">
        <v>0</v>
      </c>
      <c r="J1458" s="228">
        <v>0</v>
      </c>
      <c r="L1458">
        <v>551</v>
      </c>
      <c r="M1458">
        <v>4.08</v>
      </c>
    </row>
    <row r="1459" spans="1:13">
      <c r="A1459" s="216">
        <v>8085</v>
      </c>
      <c r="H1459" s="238">
        <v>0</v>
      </c>
      <c r="J1459" s="228">
        <v>0</v>
      </c>
      <c r="L1459">
        <v>551</v>
      </c>
      <c r="M1459">
        <v>4.0199999999999996</v>
      </c>
    </row>
    <row r="1460" spans="1:13">
      <c r="A1460" s="216">
        <v>8092</v>
      </c>
      <c r="C1460">
        <v>-4</v>
      </c>
      <c r="H1460" s="238">
        <v>0</v>
      </c>
      <c r="J1460" s="228">
        <v>0</v>
      </c>
      <c r="L1460">
        <v>551</v>
      </c>
      <c r="M1460">
        <v>3.95</v>
      </c>
    </row>
    <row r="1461" spans="1:13">
      <c r="A1461" s="216">
        <v>8096</v>
      </c>
      <c r="H1461" s="238">
        <v>0</v>
      </c>
      <c r="J1461" s="228">
        <v>0</v>
      </c>
      <c r="L1461">
        <v>551</v>
      </c>
      <c r="M1461">
        <v>3.88</v>
      </c>
    </row>
    <row r="1462" spans="1:13">
      <c r="A1462" s="216">
        <v>8097</v>
      </c>
      <c r="C1462">
        <v>-7</v>
      </c>
      <c r="H1462" s="238">
        <v>0</v>
      </c>
      <c r="J1462" s="228">
        <v>0</v>
      </c>
      <c r="L1462">
        <v>551</v>
      </c>
      <c r="M1462">
        <v>3.82</v>
      </c>
    </row>
    <row r="1463" spans="1:13">
      <c r="A1463" s="216">
        <v>8107</v>
      </c>
      <c r="C1463">
        <v>6</v>
      </c>
      <c r="D1463">
        <v>1080</v>
      </c>
      <c r="E1463">
        <v>579</v>
      </c>
      <c r="F1463">
        <v>1937</v>
      </c>
      <c r="G1463">
        <v>443</v>
      </c>
      <c r="H1463" s="238">
        <v>0</v>
      </c>
      <c r="J1463" s="228">
        <v>0</v>
      </c>
      <c r="L1463">
        <v>551</v>
      </c>
      <c r="M1463">
        <v>3.75</v>
      </c>
    </row>
    <row r="1464" spans="1:13">
      <c r="A1464" s="216">
        <v>8109</v>
      </c>
      <c r="H1464" s="238">
        <v>0</v>
      </c>
      <c r="J1464" s="228">
        <v>0</v>
      </c>
      <c r="L1464">
        <v>551</v>
      </c>
      <c r="M1464">
        <v>3.69</v>
      </c>
    </row>
    <row r="1465" spans="1:13">
      <c r="A1465" s="216">
        <v>8111</v>
      </c>
      <c r="H1465" s="238">
        <v>0</v>
      </c>
      <c r="J1465" s="228">
        <v>0</v>
      </c>
      <c r="L1465">
        <v>551</v>
      </c>
      <c r="M1465">
        <v>3.62</v>
      </c>
    </row>
    <row r="1466" spans="1:13">
      <c r="A1466" s="216">
        <v>8121</v>
      </c>
      <c r="H1466" s="238">
        <v>0</v>
      </c>
      <c r="J1466" s="228">
        <v>0</v>
      </c>
      <c r="L1466">
        <v>551</v>
      </c>
      <c r="M1466">
        <v>3.55</v>
      </c>
    </row>
    <row r="1467" spans="1:13">
      <c r="A1467" s="216">
        <v>8147</v>
      </c>
      <c r="H1467" s="238">
        <v>0</v>
      </c>
      <c r="J1467" s="228">
        <v>0</v>
      </c>
      <c r="L1467">
        <v>551</v>
      </c>
      <c r="M1467">
        <v>3.49</v>
      </c>
    </row>
    <row r="1468" spans="1:13">
      <c r="A1468" s="216">
        <v>8155</v>
      </c>
      <c r="H1468" s="238">
        <v>0</v>
      </c>
      <c r="J1468" s="228">
        <v>0</v>
      </c>
      <c r="L1468">
        <v>551</v>
      </c>
      <c r="M1468">
        <v>3.42</v>
      </c>
    </row>
    <row r="1469" spans="1:13">
      <c r="A1469" s="216">
        <v>8171</v>
      </c>
      <c r="C1469">
        <v>-22</v>
      </c>
      <c r="H1469" s="238">
        <v>0</v>
      </c>
      <c r="J1469" s="228">
        <v>0</v>
      </c>
      <c r="L1469">
        <v>551</v>
      </c>
      <c r="M1469">
        <v>3.36</v>
      </c>
    </row>
    <row r="1470" spans="1:13">
      <c r="A1470" s="216">
        <v>8176</v>
      </c>
      <c r="C1470">
        <v>1</v>
      </c>
      <c r="D1470">
        <v>203</v>
      </c>
      <c r="E1470">
        <v>523</v>
      </c>
      <c r="F1470">
        <v>927</v>
      </c>
      <c r="G1470">
        <v>330</v>
      </c>
      <c r="H1470" s="238">
        <v>0</v>
      </c>
      <c r="J1470" s="228">
        <v>0</v>
      </c>
      <c r="L1470">
        <v>551</v>
      </c>
      <c r="M1470">
        <v>3.29</v>
      </c>
    </row>
    <row r="1471" spans="1:13">
      <c r="A1471" s="216">
        <v>8182</v>
      </c>
      <c r="H1471" s="238">
        <v>0</v>
      </c>
      <c r="J1471" s="228">
        <v>0</v>
      </c>
      <c r="L1471">
        <v>551</v>
      </c>
      <c r="M1471">
        <v>3.23</v>
      </c>
    </row>
    <row r="1472" spans="1:13">
      <c r="A1472" s="216">
        <v>8183</v>
      </c>
      <c r="C1472">
        <v>-7</v>
      </c>
      <c r="H1472" s="238">
        <v>0</v>
      </c>
      <c r="J1472" s="228">
        <v>0</v>
      </c>
      <c r="L1472">
        <v>551</v>
      </c>
      <c r="M1472">
        <v>3.16</v>
      </c>
    </row>
    <row r="1473" spans="1:13">
      <c r="A1473" s="216">
        <v>8240</v>
      </c>
      <c r="H1473" s="238">
        <v>0</v>
      </c>
      <c r="J1473" s="228">
        <v>0</v>
      </c>
      <c r="L1473">
        <v>551</v>
      </c>
      <c r="M1473">
        <v>3.09</v>
      </c>
    </row>
    <row r="1474" spans="1:13">
      <c r="A1474" s="216">
        <v>8255</v>
      </c>
      <c r="H1474" s="238">
        <v>0</v>
      </c>
      <c r="J1474" s="228">
        <v>0</v>
      </c>
      <c r="L1474">
        <v>551</v>
      </c>
      <c r="M1474">
        <v>3.03</v>
      </c>
    </row>
    <row r="1475" spans="1:13">
      <c r="A1475" s="216">
        <v>8266</v>
      </c>
      <c r="H1475" s="238">
        <v>0</v>
      </c>
      <c r="J1475" s="228">
        <v>0</v>
      </c>
      <c r="L1475">
        <v>551</v>
      </c>
      <c r="M1475">
        <v>2.96</v>
      </c>
    </row>
    <row r="1476" spans="1:13">
      <c r="A1476" s="216">
        <v>8277</v>
      </c>
      <c r="C1476">
        <v>-10</v>
      </c>
      <c r="H1476" s="238">
        <v>0</v>
      </c>
      <c r="J1476" s="228">
        <v>0</v>
      </c>
      <c r="L1476">
        <v>551</v>
      </c>
      <c r="M1476">
        <v>2.9</v>
      </c>
    </row>
    <row r="1477" spans="1:13">
      <c r="A1477" s="216">
        <v>8287</v>
      </c>
      <c r="H1477" s="238">
        <v>0</v>
      </c>
      <c r="J1477" s="228">
        <v>0</v>
      </c>
      <c r="L1477">
        <v>551</v>
      </c>
      <c r="M1477">
        <v>2.83</v>
      </c>
    </row>
    <row r="1478" spans="1:13">
      <c r="A1478" s="216">
        <v>8289</v>
      </c>
      <c r="H1478" s="238">
        <v>0</v>
      </c>
      <c r="J1478" s="228">
        <v>0</v>
      </c>
      <c r="L1478">
        <v>551</v>
      </c>
      <c r="M1478">
        <v>2.76</v>
      </c>
    </row>
    <row r="1479" spans="1:13">
      <c r="A1479" s="216">
        <v>8291</v>
      </c>
      <c r="C1479">
        <v>-20</v>
      </c>
      <c r="H1479" s="238">
        <v>0</v>
      </c>
      <c r="J1479" s="228">
        <v>0</v>
      </c>
      <c r="L1479">
        <v>551</v>
      </c>
      <c r="M1479">
        <v>2.7</v>
      </c>
    </row>
    <row r="1480" spans="1:13">
      <c r="A1480" s="216">
        <v>8349</v>
      </c>
      <c r="H1480" s="238">
        <v>0</v>
      </c>
      <c r="J1480" s="228">
        <v>0</v>
      </c>
      <c r="L1480">
        <v>551</v>
      </c>
      <c r="M1480">
        <v>2.63</v>
      </c>
    </row>
    <row r="1481" spans="1:13">
      <c r="A1481" s="216">
        <v>8354</v>
      </c>
      <c r="H1481" s="238">
        <v>0</v>
      </c>
      <c r="J1481" s="228">
        <v>0</v>
      </c>
      <c r="L1481">
        <v>551</v>
      </c>
      <c r="M1481">
        <v>2.57</v>
      </c>
    </row>
    <row r="1482" spans="1:13">
      <c r="A1482" s="216">
        <v>8358</v>
      </c>
      <c r="C1482">
        <v>-49</v>
      </c>
      <c r="H1482" s="238">
        <v>0</v>
      </c>
      <c r="J1482" s="228">
        <v>0</v>
      </c>
      <c r="L1482">
        <v>551</v>
      </c>
      <c r="M1482">
        <v>2.5</v>
      </c>
    </row>
    <row r="1483" spans="1:13">
      <c r="A1483" s="216">
        <v>8383</v>
      </c>
      <c r="H1483" s="238">
        <v>0</v>
      </c>
      <c r="J1483" s="228">
        <v>0</v>
      </c>
      <c r="L1483">
        <v>551</v>
      </c>
      <c r="M1483">
        <v>2.44</v>
      </c>
    </row>
    <row r="1484" spans="1:13">
      <c r="A1484" s="216">
        <v>8390</v>
      </c>
      <c r="C1484">
        <v>-40</v>
      </c>
      <c r="H1484" s="238">
        <v>0</v>
      </c>
      <c r="J1484" s="228">
        <v>0</v>
      </c>
      <c r="L1484">
        <v>551</v>
      </c>
      <c r="M1484">
        <v>2.37</v>
      </c>
    </row>
    <row r="1485" spans="1:13">
      <c r="A1485" s="216">
        <v>8409</v>
      </c>
      <c r="H1485" s="238">
        <v>0</v>
      </c>
      <c r="J1485" s="228">
        <v>0</v>
      </c>
      <c r="L1485">
        <v>551</v>
      </c>
      <c r="M1485">
        <v>2.2999999999999998</v>
      </c>
    </row>
    <row r="1486" spans="1:13">
      <c r="A1486" s="216">
        <v>8410</v>
      </c>
      <c r="C1486">
        <v>5</v>
      </c>
      <c r="D1486">
        <v>570</v>
      </c>
      <c r="E1486">
        <v>714</v>
      </c>
      <c r="F1486">
        <v>1223</v>
      </c>
      <c r="G1486">
        <v>73</v>
      </c>
      <c r="H1486" s="238">
        <v>0</v>
      </c>
      <c r="J1486" s="228">
        <v>0</v>
      </c>
      <c r="L1486">
        <v>551</v>
      </c>
      <c r="M1486">
        <v>2.2400000000000002</v>
      </c>
    </row>
    <row r="1487" spans="1:13">
      <c r="A1487" s="216">
        <v>8416</v>
      </c>
      <c r="C1487">
        <v>34</v>
      </c>
      <c r="D1487">
        <v>458</v>
      </c>
      <c r="E1487">
        <v>212</v>
      </c>
      <c r="F1487">
        <v>692</v>
      </c>
      <c r="G1487">
        <v>0</v>
      </c>
      <c r="H1487" s="238">
        <v>0</v>
      </c>
      <c r="J1487" s="228">
        <v>0</v>
      </c>
      <c r="L1487">
        <v>551</v>
      </c>
      <c r="M1487">
        <v>2.17</v>
      </c>
    </row>
    <row r="1488" spans="1:13">
      <c r="A1488" s="216">
        <v>8418</v>
      </c>
      <c r="C1488">
        <v>-17</v>
      </c>
      <c r="H1488" s="238">
        <v>0</v>
      </c>
      <c r="J1488" s="228">
        <v>0</v>
      </c>
      <c r="L1488">
        <v>551</v>
      </c>
      <c r="M1488">
        <v>2.11</v>
      </c>
    </row>
    <row r="1489" spans="1:13">
      <c r="A1489" s="216">
        <v>8420</v>
      </c>
      <c r="H1489" s="238">
        <v>0</v>
      </c>
      <c r="J1489" s="228">
        <v>0</v>
      </c>
      <c r="L1489">
        <v>551</v>
      </c>
      <c r="M1489">
        <v>2.04</v>
      </c>
    </row>
    <row r="1490" spans="1:13">
      <c r="A1490" s="216">
        <v>8423</v>
      </c>
      <c r="H1490" s="238">
        <v>0</v>
      </c>
      <c r="J1490" s="228">
        <v>0</v>
      </c>
      <c r="L1490">
        <v>551</v>
      </c>
      <c r="M1490">
        <v>1.97</v>
      </c>
    </row>
    <row r="1491" spans="1:13">
      <c r="A1491" s="216">
        <v>8424</v>
      </c>
      <c r="H1491" s="238">
        <v>0</v>
      </c>
      <c r="J1491" s="228">
        <v>0</v>
      </c>
      <c r="L1491">
        <v>551</v>
      </c>
      <c r="M1491">
        <v>1.91</v>
      </c>
    </row>
    <row r="1492" spans="1:13">
      <c r="A1492" s="216">
        <v>8431</v>
      </c>
      <c r="H1492" s="238">
        <v>0</v>
      </c>
      <c r="J1492" s="228">
        <v>0</v>
      </c>
      <c r="L1492">
        <v>551</v>
      </c>
      <c r="M1492">
        <v>1.84</v>
      </c>
    </row>
    <row r="1493" spans="1:13">
      <c r="A1493" s="216">
        <v>8432</v>
      </c>
      <c r="H1493" s="238">
        <v>0</v>
      </c>
      <c r="J1493" s="228">
        <v>0</v>
      </c>
      <c r="L1493">
        <v>551</v>
      </c>
      <c r="M1493">
        <v>1.78</v>
      </c>
    </row>
    <row r="1494" spans="1:13">
      <c r="A1494" s="216">
        <v>8433</v>
      </c>
      <c r="H1494" s="238">
        <v>0</v>
      </c>
      <c r="J1494" s="228">
        <v>0</v>
      </c>
      <c r="L1494">
        <v>551</v>
      </c>
      <c r="M1494">
        <v>1.71</v>
      </c>
    </row>
    <row r="1495" spans="1:13">
      <c r="A1495" s="216">
        <v>8435</v>
      </c>
      <c r="C1495">
        <v>35</v>
      </c>
      <c r="D1495">
        <v>521</v>
      </c>
      <c r="E1495">
        <v>204</v>
      </c>
      <c r="F1495">
        <v>738</v>
      </c>
      <c r="G1495">
        <v>0</v>
      </c>
      <c r="H1495" s="238">
        <v>0</v>
      </c>
      <c r="J1495" s="228">
        <v>0</v>
      </c>
      <c r="L1495">
        <v>551</v>
      </c>
      <c r="M1495">
        <v>1.65</v>
      </c>
    </row>
    <row r="1496" spans="1:13">
      <c r="A1496" s="216">
        <v>8436</v>
      </c>
      <c r="H1496" s="238">
        <v>0</v>
      </c>
      <c r="J1496" s="228">
        <v>0</v>
      </c>
      <c r="L1496">
        <v>551</v>
      </c>
      <c r="M1496">
        <v>1.58</v>
      </c>
    </row>
    <row r="1497" spans="1:13">
      <c r="A1497" s="216">
        <v>8437</v>
      </c>
      <c r="H1497" s="238">
        <v>0</v>
      </c>
      <c r="J1497" s="228">
        <v>0</v>
      </c>
      <c r="L1497">
        <v>551</v>
      </c>
      <c r="M1497">
        <v>1.51</v>
      </c>
    </row>
    <row r="1498" spans="1:13">
      <c r="A1498" s="216">
        <v>8444</v>
      </c>
      <c r="H1498" s="238">
        <v>0</v>
      </c>
      <c r="J1498" s="228">
        <v>0</v>
      </c>
      <c r="L1498">
        <v>551</v>
      </c>
      <c r="M1498">
        <v>1.45</v>
      </c>
    </row>
    <row r="1499" spans="1:13">
      <c r="A1499" s="216">
        <v>8906</v>
      </c>
      <c r="H1499" s="238">
        <v>0</v>
      </c>
      <c r="J1499" s="228">
        <v>0</v>
      </c>
      <c r="L1499">
        <v>551</v>
      </c>
      <c r="M1499">
        <v>1.38</v>
      </c>
    </row>
    <row r="1500" spans="1:13">
      <c r="A1500" s="216">
        <v>8908</v>
      </c>
      <c r="H1500" s="238">
        <v>0</v>
      </c>
      <c r="J1500" s="228">
        <v>0</v>
      </c>
      <c r="L1500">
        <v>551</v>
      </c>
      <c r="M1500">
        <v>1.32</v>
      </c>
    </row>
    <row r="1501" spans="1:13">
      <c r="A1501" s="216">
        <v>8917</v>
      </c>
      <c r="H1501" s="238">
        <v>0</v>
      </c>
      <c r="J1501" s="228">
        <v>0</v>
      </c>
      <c r="L1501">
        <v>551</v>
      </c>
      <c r="M1501">
        <v>1.25</v>
      </c>
    </row>
    <row r="1502" spans="1:13">
      <c r="A1502" s="216">
        <v>8921</v>
      </c>
      <c r="H1502" s="238">
        <v>0</v>
      </c>
      <c r="J1502" s="228">
        <v>0</v>
      </c>
      <c r="L1502">
        <v>551</v>
      </c>
      <c r="M1502">
        <v>1.18</v>
      </c>
    </row>
    <row r="1503" spans="1:13">
      <c r="A1503" s="216">
        <v>8923</v>
      </c>
      <c r="H1503" s="238">
        <v>0</v>
      </c>
      <c r="J1503" s="228">
        <v>0</v>
      </c>
      <c r="L1503">
        <v>551</v>
      </c>
      <c r="M1503">
        <v>1.1200000000000001</v>
      </c>
    </row>
    <row r="1504" spans="1:13">
      <c r="A1504" s="216">
        <v>8924</v>
      </c>
      <c r="C1504">
        <v>-40</v>
      </c>
      <c r="H1504" s="238">
        <v>0</v>
      </c>
      <c r="J1504" s="228">
        <v>0</v>
      </c>
      <c r="L1504">
        <v>551</v>
      </c>
      <c r="M1504">
        <v>1.05</v>
      </c>
    </row>
    <row r="1505" spans="1:13">
      <c r="A1505" s="216">
        <v>8925</v>
      </c>
      <c r="C1505">
        <v>-183</v>
      </c>
      <c r="H1505" s="238">
        <v>0</v>
      </c>
      <c r="J1505" s="228">
        <v>0</v>
      </c>
      <c r="L1505">
        <v>551</v>
      </c>
      <c r="M1505">
        <v>0.99</v>
      </c>
    </row>
    <row r="1506" spans="1:13">
      <c r="A1506" s="216">
        <v>8927</v>
      </c>
      <c r="C1506">
        <v>-16</v>
      </c>
      <c r="H1506" s="238">
        <v>0</v>
      </c>
      <c r="J1506" s="228">
        <v>0</v>
      </c>
      <c r="L1506">
        <v>551</v>
      </c>
      <c r="M1506">
        <v>0.92</v>
      </c>
    </row>
    <row r="1507" spans="1:13">
      <c r="A1507" s="216">
        <v>8928</v>
      </c>
      <c r="C1507">
        <v>2</v>
      </c>
      <c r="D1507">
        <v>144</v>
      </c>
      <c r="E1507">
        <v>632</v>
      </c>
      <c r="F1507">
        <v>677</v>
      </c>
      <c r="G1507">
        <v>307</v>
      </c>
      <c r="H1507" s="238">
        <v>0</v>
      </c>
      <c r="J1507" s="228">
        <v>0</v>
      </c>
      <c r="L1507">
        <v>551</v>
      </c>
      <c r="M1507">
        <v>0.86</v>
      </c>
    </row>
    <row r="1508" spans="1:13">
      <c r="A1508" s="216">
        <v>8930</v>
      </c>
      <c r="H1508" s="238">
        <v>0</v>
      </c>
      <c r="J1508" s="228">
        <v>0</v>
      </c>
      <c r="L1508">
        <v>551</v>
      </c>
      <c r="M1508">
        <v>0.79</v>
      </c>
    </row>
    <row r="1509" spans="1:13">
      <c r="A1509" s="216">
        <v>8931</v>
      </c>
      <c r="H1509" s="238">
        <v>0</v>
      </c>
      <c r="J1509" s="228">
        <v>0</v>
      </c>
      <c r="L1509">
        <v>551</v>
      </c>
      <c r="M1509">
        <v>0.72</v>
      </c>
    </row>
    <row r="1510" spans="1:13">
      <c r="A1510" s="216">
        <v>8932</v>
      </c>
      <c r="H1510" s="238">
        <v>0</v>
      </c>
      <c r="J1510" s="228">
        <v>0</v>
      </c>
      <c r="L1510">
        <v>551</v>
      </c>
      <c r="M1510">
        <v>0.66</v>
      </c>
    </row>
    <row r="1511" spans="1:13">
      <c r="A1511" s="216">
        <v>8933</v>
      </c>
      <c r="H1511" s="238">
        <v>0</v>
      </c>
      <c r="J1511" s="228">
        <v>0</v>
      </c>
      <c r="L1511">
        <v>551</v>
      </c>
      <c r="M1511">
        <v>0.59</v>
      </c>
    </row>
    <row r="1512" spans="1:13">
      <c r="A1512" s="216">
        <v>8934</v>
      </c>
      <c r="C1512">
        <v>-3</v>
      </c>
      <c r="H1512" s="238">
        <v>0</v>
      </c>
      <c r="J1512" s="228">
        <v>0</v>
      </c>
      <c r="L1512">
        <v>551</v>
      </c>
      <c r="M1512">
        <v>0.53</v>
      </c>
    </row>
    <row r="1513" spans="1:13">
      <c r="A1513" s="216">
        <v>8935</v>
      </c>
      <c r="C1513">
        <v>1</v>
      </c>
      <c r="D1513">
        <v>469</v>
      </c>
      <c r="E1513">
        <v>774</v>
      </c>
      <c r="F1513">
        <v>965</v>
      </c>
      <c r="G1513">
        <v>189</v>
      </c>
      <c r="H1513" s="238">
        <v>0</v>
      </c>
      <c r="J1513" s="228">
        <v>0</v>
      </c>
      <c r="L1513">
        <v>551</v>
      </c>
      <c r="M1513">
        <v>0.46</v>
      </c>
    </row>
    <row r="1514" spans="1:13">
      <c r="A1514" s="216">
        <v>8937</v>
      </c>
      <c r="C1514">
        <v>6</v>
      </c>
      <c r="D1514">
        <v>552</v>
      </c>
      <c r="E1514">
        <v>165</v>
      </c>
      <c r="F1514">
        <v>800</v>
      </c>
      <c r="G1514">
        <v>0</v>
      </c>
      <c r="H1514" s="238">
        <v>0</v>
      </c>
      <c r="J1514" s="228">
        <v>0</v>
      </c>
      <c r="L1514">
        <v>551</v>
      </c>
      <c r="M1514">
        <v>0.39</v>
      </c>
    </row>
    <row r="1515" spans="1:13">
      <c r="A1515" s="216">
        <v>8938</v>
      </c>
      <c r="C1515">
        <v>-63</v>
      </c>
      <c r="H1515" s="238">
        <v>0</v>
      </c>
      <c r="J1515" s="228">
        <v>0</v>
      </c>
      <c r="L1515">
        <v>551</v>
      </c>
      <c r="M1515">
        <v>0.33</v>
      </c>
    </row>
    <row r="1516" spans="1:13">
      <c r="A1516" s="216">
        <v>8941</v>
      </c>
      <c r="H1516" s="238">
        <v>0</v>
      </c>
      <c r="J1516" s="228">
        <v>0</v>
      </c>
      <c r="L1516">
        <v>551</v>
      </c>
      <c r="M1516">
        <v>0.26</v>
      </c>
    </row>
    <row r="1517" spans="1:13">
      <c r="A1517" s="216">
        <v>9949</v>
      </c>
      <c r="C1517">
        <v>-23</v>
      </c>
      <c r="H1517" s="238">
        <v>0</v>
      </c>
      <c r="J1517" s="228">
        <v>0</v>
      </c>
      <c r="L1517">
        <v>551</v>
      </c>
      <c r="M1517">
        <v>0.2</v>
      </c>
    </row>
    <row r="1518" spans="1:13">
      <c r="A1518" s="216">
        <v>9950</v>
      </c>
      <c r="H1518" s="238">
        <v>0</v>
      </c>
      <c r="J1518" s="228">
        <v>0</v>
      </c>
      <c r="L1518">
        <v>551</v>
      </c>
      <c r="M1518">
        <v>0.13</v>
      </c>
    </row>
    <row r="1519" spans="1:13">
      <c r="A1519" s="216">
        <v>9960</v>
      </c>
      <c r="C1519">
        <v>-3</v>
      </c>
      <c r="H1519" s="238">
        <v>0</v>
      </c>
      <c r="J1519" s="228">
        <v>0</v>
      </c>
      <c r="L1519">
        <v>551</v>
      </c>
      <c r="M1519">
        <v>7.0000000000000007E-2</v>
      </c>
    </row>
    <row r="1520" spans="1:13">
      <c r="A1520" s="216">
        <v>9962</v>
      </c>
      <c r="H1520" s="238">
        <v>0</v>
      </c>
      <c r="J1520" s="228">
        <v>0</v>
      </c>
      <c r="L1520">
        <v>551</v>
      </c>
      <c r="M1520">
        <v>0</v>
      </c>
    </row>
  </sheetData>
  <autoFilter ref="A1:M1520"/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6" r:id="rId2" name="CommandButton7"/>
    <control shapeId="50184" r:id="rId3" name="CommandButton6"/>
    <control shapeId="50183" r:id="rId4" name="CommandButton5"/>
    <control shapeId="50182" r:id="rId5" name="CommandButton4"/>
    <control shapeId="50178" r:id="rId6" name="CommandButton1"/>
    <control shapeId="50179" r:id="rId7" name="CommandButton2"/>
    <control shapeId="50180" r:id="rId8" name="CommandButton3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3" customFormat="1" ht="32.25" customHeight="1">
      <c r="A1" s="245" t="s">
        <v>2265</v>
      </c>
    </row>
    <row r="2" spans="1:1">
      <c r="A2" s="244" t="s">
        <v>2262</v>
      </c>
    </row>
    <row r="3" spans="1:1">
      <c r="A3" s="244" t="s">
        <v>2263</v>
      </c>
    </row>
    <row r="4" spans="1:1">
      <c r="A4" s="244" t="s">
        <v>2264</v>
      </c>
    </row>
    <row r="5" spans="1:1">
      <c r="A5" s="244" t="s">
        <v>2266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3" r:id="rId3" name="CommandButton3"/>
    <control shapeId="5122" r:id="rId4" name="CommandButton2"/>
    <control shapeId="5121" r:id="rId5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4"/>
  <dimension ref="A1:H1514"/>
  <sheetViews>
    <sheetView workbookViewId="0">
      <pane xSplit="7" ySplit="1" topLeftCell="H1481" activePane="bottomRight" state="frozen"/>
      <selection pane="topRight" activeCell="H1" sqref="H1"/>
      <selection pane="bottomLeft" activeCell="A2" sqref="A2"/>
      <selection pane="bottomRight" activeCell="K1502" sqref="K1502"/>
    </sheetView>
  </sheetViews>
  <sheetFormatPr defaultRowHeight="16.5"/>
  <cols>
    <col min="8" max="8" width="5.5" bestFit="1" customWidth="1"/>
  </cols>
  <sheetData>
    <row r="1" spans="1:8" s="216" customFormat="1">
      <c r="A1" s="216" t="s">
        <v>207</v>
      </c>
      <c r="B1" s="216" t="s">
        <v>1913</v>
      </c>
      <c r="C1" s="216" t="s">
        <v>1914</v>
      </c>
      <c r="D1" s="216" t="s">
        <v>1915</v>
      </c>
      <c r="E1" s="216" t="s">
        <v>1916</v>
      </c>
      <c r="F1" s="216" t="s">
        <v>1917</v>
      </c>
      <c r="G1" s="216" t="s">
        <v>1918</v>
      </c>
      <c r="H1" s="248" t="s">
        <v>2269</v>
      </c>
    </row>
    <row r="2" spans="1:8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8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8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8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8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8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8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8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8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8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8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8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8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8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8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679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</row>
    <row r="689" spans="1:7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</row>
    <row r="690" spans="1:7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</row>
    <row r="691" spans="1:7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</row>
    <row r="693" spans="1:7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</row>
    <row r="694" spans="1:7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</row>
    <row r="695" spans="1:7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</row>
    <row r="697" spans="1:7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</row>
    <row r="698" spans="1:7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</row>
    <row r="699" spans="1:7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</row>
    <row r="700" spans="1:7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</row>
    <row r="701" spans="1:7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</row>
    <row r="702" spans="1:7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</row>
    <row r="703" spans="1:7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</row>
    <row r="705" spans="1:7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</row>
    <row r="706" spans="1:7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</row>
    <row r="707" spans="1:7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</row>
    <row r="708" spans="1:7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</row>
    <row r="709" spans="1:7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</row>
    <row r="710" spans="1:7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</row>
    <row r="711" spans="1:7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</row>
    <row r="712" spans="1:7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</row>
    <row r="713" spans="1:7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</row>
    <row r="714" spans="1:7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</row>
    <row r="716" spans="1:7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</row>
    <row r="717" spans="1:7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</row>
    <row r="718" spans="1:7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</row>
    <row r="719" spans="1:7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</row>
    <row r="720" spans="1:7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</row>
    <row r="721" spans="1:7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</row>
    <row r="722" spans="1:7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</row>
    <row r="723" spans="1:7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</row>
    <row r="724" spans="1:7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</row>
    <row r="725" spans="1:7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</row>
    <row r="726" spans="1:7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</row>
    <row r="727" spans="1:7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</row>
    <row r="728" spans="1:7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</row>
    <row r="729" spans="1:7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</row>
    <row r="730" spans="1:7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</row>
    <row r="731" spans="1:7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</row>
    <row r="732" spans="1:7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</row>
    <row r="733" spans="1:7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</row>
    <row r="734" spans="1:7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</row>
    <row r="735" spans="1:7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</row>
    <row r="736" spans="1:7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</row>
    <row r="737" spans="1:7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</row>
    <row r="738" spans="1:7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</row>
    <row r="739" spans="1:7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</row>
    <row r="740" spans="1:7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</row>
    <row r="741" spans="1:7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</row>
    <row r="742" spans="1:7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</row>
    <row r="743" spans="1:7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</row>
    <row r="744" spans="1:7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</row>
    <row r="745" spans="1:7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</row>
    <row r="746" spans="1:7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</row>
    <row r="747" spans="1:7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</row>
    <row r="748" spans="1:7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</row>
    <row r="749" spans="1:7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</row>
    <row r="751" spans="1:7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</row>
    <row r="752" spans="1:7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</row>
    <row r="753" spans="1:7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</row>
    <row r="754" spans="1:7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</row>
    <row r="755" spans="1:7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</row>
    <row r="756" spans="1:7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</row>
    <row r="758" spans="1:7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</row>
    <row r="759" spans="1:7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</row>
    <row r="760" spans="1:7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</row>
    <row r="761" spans="1:7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</row>
    <row r="762" spans="1:7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</row>
    <row r="763" spans="1:7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</row>
    <row r="764" spans="1:7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</row>
    <row r="765" spans="1:7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</row>
    <row r="766" spans="1:7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</row>
    <row r="767" spans="1:7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</row>
    <row r="768" spans="1:7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</row>
    <row r="770" spans="1:7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</row>
    <row r="771" spans="1:7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</row>
    <row r="772" spans="1:7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</row>
    <row r="773" spans="1:7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</row>
    <row r="775" spans="1:7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</row>
    <row r="776" spans="1:7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</row>
    <row r="777" spans="1:7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</row>
    <row r="778" spans="1:7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</row>
    <row r="779" spans="1:7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</row>
    <row r="780" spans="1:7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</row>
    <row r="781" spans="1:7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</row>
    <row r="782" spans="1:7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</row>
    <row r="783" spans="1:7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</row>
    <row r="784" spans="1:7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</row>
    <row r="785" spans="1:7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</row>
    <row r="786" spans="1:7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</row>
    <row r="788" spans="1:7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</row>
    <row r="789" spans="1:7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</row>
    <row r="790" spans="1:7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</row>
    <row r="791" spans="1:7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</row>
    <row r="792" spans="1:7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</row>
    <row r="793" spans="1:7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</row>
    <row r="794" spans="1:7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</row>
    <row r="795" spans="1:7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</row>
    <row r="796" spans="1:7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</row>
    <row r="797" spans="1:7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</row>
    <row r="798" spans="1:7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</row>
    <row r="799" spans="1:7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</row>
    <row r="800" spans="1:7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</row>
    <row r="801" spans="1:7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</row>
    <row r="802" spans="1:7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</row>
    <row r="803" spans="1:7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</row>
    <row r="804" spans="1:7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</row>
    <row r="805" spans="1:7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</row>
    <row r="806" spans="1:7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</row>
    <row r="807" spans="1:7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</row>
    <row r="808" spans="1:7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</row>
    <row r="809" spans="1:7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</row>
    <row r="811" spans="1:7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</row>
    <row r="812" spans="1:7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</row>
    <row r="813" spans="1:7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</row>
    <row r="814" spans="1:7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</row>
    <row r="815" spans="1:7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</row>
    <row r="816" spans="1:7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</row>
    <row r="817" spans="1:7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</row>
    <row r="818" spans="1:7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</row>
    <row r="819" spans="1:7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</row>
    <row r="820" spans="1:7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</row>
    <row r="821" spans="1:7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</row>
    <row r="823" spans="1:7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</row>
    <row r="824" spans="1:7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</row>
    <row r="825" spans="1:7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</row>
    <row r="826" spans="1:7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</row>
    <row r="827" spans="1:7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</row>
    <row r="828" spans="1:7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</row>
    <row r="829" spans="1:7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</row>
    <row r="830" spans="1:7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</row>
    <row r="831" spans="1:7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</row>
    <row r="832" spans="1:7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</row>
    <row r="833" spans="1:7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</row>
    <row r="834" spans="1:7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</row>
    <row r="835" spans="1:7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</row>
    <row r="836" spans="1:7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</row>
    <row r="837" spans="1:7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</row>
    <row r="838" spans="1:7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</row>
    <row r="839" spans="1:7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</row>
    <row r="840" spans="1:7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</row>
    <row r="841" spans="1:7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</row>
    <row r="842" spans="1:7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</row>
    <row r="844" spans="1:7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</row>
    <row r="845" spans="1:7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</row>
    <row r="846" spans="1:7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</row>
    <row r="847" spans="1:7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</row>
    <row r="848" spans="1:7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</row>
    <row r="849" spans="1:7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</row>
    <row r="850" spans="1:7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</row>
    <row r="851" spans="1:7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</row>
    <row r="852" spans="1:7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</row>
    <row r="853" spans="1:7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</row>
    <row r="854" spans="1:7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</row>
    <row r="855" spans="1:7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</row>
    <row r="856" spans="1:7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</row>
    <row r="857" spans="1:7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</row>
    <row r="858" spans="1:7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</row>
    <row r="859" spans="1:7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</row>
    <row r="860" spans="1:7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</row>
    <row r="861" spans="1:7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</row>
    <row r="862" spans="1:7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</row>
    <row r="863" spans="1:7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</row>
    <row r="864" spans="1:7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</row>
    <row r="865" spans="1:7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</row>
    <row r="866" spans="1:7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</row>
    <row r="867" spans="1:7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</row>
    <row r="868" spans="1:7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</row>
    <row r="869" spans="1:7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</row>
    <row r="870" spans="1:7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</row>
    <row r="871" spans="1:7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</row>
    <row r="872" spans="1:7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</row>
    <row r="873" spans="1:7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</row>
    <row r="874" spans="1:7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</row>
    <row r="875" spans="1:7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</row>
    <row r="876" spans="1:7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</row>
    <row r="877" spans="1:7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</row>
    <row r="879" spans="1:7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</row>
    <row r="881" spans="1:7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</row>
    <row r="882" spans="1:7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</row>
    <row r="883" spans="1:7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</row>
    <row r="884" spans="1:7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</row>
    <row r="885" spans="1:7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</row>
    <row r="887" spans="1:7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</row>
    <row r="888" spans="1:7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</row>
    <row r="889" spans="1:7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</row>
    <row r="890" spans="1:7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</row>
    <row r="891" spans="1:7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</row>
    <row r="892" spans="1:7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</row>
    <row r="893" spans="1:7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</row>
    <row r="894" spans="1:7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</row>
    <row r="895" spans="1:7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</row>
    <row r="896" spans="1:7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</row>
    <row r="897" spans="1:7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</row>
    <row r="898" spans="1:7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</row>
    <row r="899" spans="1:7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</row>
    <row r="900" spans="1:7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</row>
    <row r="901" spans="1:7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</row>
    <row r="902" spans="1:7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</row>
    <row r="903" spans="1:7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</row>
    <row r="904" spans="1:7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</row>
    <row r="905" spans="1:7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</row>
    <row r="906" spans="1:7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</row>
    <row r="907" spans="1:7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</row>
    <row r="908" spans="1:7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</row>
    <row r="909" spans="1:7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</row>
    <row r="910" spans="1:7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</row>
    <row r="911" spans="1:7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</row>
    <row r="912" spans="1:7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</row>
    <row r="913" spans="1:7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</row>
    <row r="914" spans="1:7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</row>
    <row r="915" spans="1:7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</row>
    <row r="916" spans="1:7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</row>
    <row r="918" spans="1:7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</row>
    <row r="919" spans="1:7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</row>
    <row r="920" spans="1:7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</row>
    <row r="921" spans="1:7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</row>
    <row r="922" spans="1:7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</row>
    <row r="923" spans="1:7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</row>
    <row r="924" spans="1:7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</row>
    <row r="925" spans="1:7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</row>
    <row r="926" spans="1:7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</row>
    <row r="927" spans="1:7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</row>
    <row r="929" spans="1:7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</row>
    <row r="930" spans="1:7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</row>
    <row r="931" spans="1:7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</row>
    <row r="932" spans="1:7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</row>
    <row r="933" spans="1:7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</row>
    <row r="934" spans="1:7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</row>
    <row r="935" spans="1:7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</row>
    <row r="936" spans="1:7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</row>
    <row r="937" spans="1:7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</row>
    <row r="939" spans="1:7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</row>
    <row r="940" spans="1:7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</row>
    <row r="941" spans="1:7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</row>
    <row r="942" spans="1:7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</row>
    <row r="943" spans="1:7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</row>
    <row r="944" spans="1:7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</row>
    <row r="945" spans="1:7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</row>
    <row r="946" spans="1:7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</row>
    <row r="947" spans="1:7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</row>
    <row r="948" spans="1:7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</row>
    <row r="949" spans="1:7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</row>
    <row r="950" spans="1:7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</row>
    <row r="951" spans="1:7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</row>
    <row r="952" spans="1:7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</row>
    <row r="954" spans="1:7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</row>
    <row r="955" spans="1:7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</row>
    <row r="956" spans="1:7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</row>
    <row r="957" spans="1:7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</row>
    <row r="958" spans="1:7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</row>
    <row r="959" spans="1:7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</row>
    <row r="960" spans="1:7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</row>
    <row r="961" spans="1:7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</row>
    <row r="962" spans="1:7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</row>
    <row r="963" spans="1:7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</row>
    <row r="964" spans="1:7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</row>
    <row r="965" spans="1:7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</row>
    <row r="966" spans="1:7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</row>
    <row r="967" spans="1:7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</row>
    <row r="968" spans="1:7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</row>
    <row r="969" spans="1:7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</row>
    <row r="970" spans="1:7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</row>
    <row r="971" spans="1:7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</row>
    <row r="972" spans="1:7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</row>
    <row r="973" spans="1:7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</row>
    <row r="974" spans="1:7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</row>
    <row r="975" spans="1:7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</row>
    <row r="976" spans="1:7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</row>
    <row r="977" spans="1:7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</row>
    <row r="978" spans="1:7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</row>
    <row r="979" spans="1:7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</row>
    <row r="980" spans="1:7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</row>
    <row r="981" spans="1:7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</row>
    <row r="982" spans="1:7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</row>
    <row r="983" spans="1:7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</row>
    <row r="984" spans="1:7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</row>
    <row r="985" spans="1:7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</row>
    <row r="986" spans="1:7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</row>
    <row r="987" spans="1:7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</row>
    <row r="988" spans="1:7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</row>
    <row r="989" spans="1:7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</row>
    <row r="990" spans="1:7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</row>
    <row r="991" spans="1:7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</row>
    <row r="992" spans="1:7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</row>
    <row r="993" spans="1:7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</row>
    <row r="994" spans="1:7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</row>
    <row r="995" spans="1:7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</row>
    <row r="996" spans="1:7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</row>
    <row r="998" spans="1:7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</row>
    <row r="999" spans="1:7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</row>
    <row r="1000" spans="1:7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</row>
    <row r="1001" spans="1:7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</row>
    <row r="1002" spans="1:7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</row>
    <row r="1003" spans="1:7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</row>
    <row r="1004" spans="1:7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</row>
    <row r="1005" spans="1:7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</row>
    <row r="1006" spans="1:7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</row>
    <row r="1007" spans="1:7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</row>
    <row r="1008" spans="1:7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</row>
    <row r="1009" spans="1:7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</row>
    <row r="1010" spans="1:7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</row>
    <row r="1011" spans="1:7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</row>
    <row r="1012" spans="1:7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</row>
    <row r="1014" spans="1:7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</row>
    <row r="1015" spans="1:7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</row>
    <row r="1016" spans="1:7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</row>
    <row r="1017" spans="1:7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</row>
    <row r="1018" spans="1:7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</row>
    <row r="1019" spans="1:7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</row>
    <row r="1020" spans="1:7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</row>
    <row r="1021" spans="1:7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</row>
    <row r="1022" spans="1:7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</row>
    <row r="1023" spans="1:7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</row>
    <row r="1024" spans="1:7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</row>
    <row r="1025" spans="1:7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</row>
    <row r="1026" spans="1:7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</row>
    <row r="1027" spans="1:7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</row>
    <row r="1029" spans="1:7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</row>
    <row r="1030" spans="1:7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</row>
    <row r="1031" spans="1:7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</row>
    <row r="1032" spans="1:7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</row>
    <row r="1033" spans="1:7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</row>
    <row r="1034" spans="1:7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</row>
    <row r="1035" spans="1:7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</row>
    <row r="1036" spans="1:7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</row>
    <row r="1037" spans="1:7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</row>
    <row r="1038" spans="1:7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</row>
    <row r="1039" spans="1:7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</row>
    <row r="1040" spans="1:7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</row>
    <row r="1041" spans="1:7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</row>
    <row r="1042" spans="1:7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</row>
    <row r="1043" spans="1:7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</row>
    <row r="1044" spans="1:7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</row>
    <row r="1045" spans="1:7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</row>
    <row r="1046" spans="1:7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</row>
    <row r="1047" spans="1:7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</row>
    <row r="1049" spans="1:7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</row>
    <row r="1050" spans="1:7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</row>
    <row r="1051" spans="1:7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</row>
    <row r="1052" spans="1:7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</row>
    <row r="1053" spans="1:7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</row>
    <row r="1054" spans="1:7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</row>
    <row r="1057" spans="1:7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</row>
    <row r="1058" spans="1:7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</row>
    <row r="1059" spans="1:7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</row>
    <row r="1060" spans="1:7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</row>
    <row r="1061" spans="1:7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</row>
    <row r="1062" spans="1:7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</row>
    <row r="1063" spans="1:7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</row>
    <row r="1064" spans="1:7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</row>
    <row r="1065" spans="1:7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</row>
    <row r="1066" spans="1:7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</row>
    <row r="1067" spans="1:7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</row>
    <row r="1068" spans="1:7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</row>
    <row r="1069" spans="1:7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</row>
    <row r="1070" spans="1:7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</row>
    <row r="1071" spans="1:7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</row>
    <row r="1072" spans="1:7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</row>
    <row r="1075" spans="1:7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</row>
    <row r="1076" spans="1:7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</row>
    <row r="1077" spans="1:7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</row>
    <row r="1078" spans="1:7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</row>
    <row r="1079" spans="1:7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</row>
    <row r="1080" spans="1:7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</row>
    <row r="1081" spans="1:7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</row>
    <row r="1082" spans="1:7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</row>
    <row r="1083" spans="1:7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</row>
    <row r="1084" spans="1:7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</row>
    <row r="1085" spans="1:7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</row>
    <row r="1086" spans="1:7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</row>
    <row r="1087" spans="1:7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</row>
    <row r="1088" spans="1:7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</row>
    <row r="1089" spans="1:7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</row>
    <row r="1090" spans="1:7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</row>
    <row r="1091" spans="1:7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</row>
    <row r="1092" spans="1:7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</row>
    <row r="1093" spans="1:7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</row>
    <row r="1094" spans="1:7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</row>
    <row r="1096" spans="1:7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</row>
    <row r="1099" spans="1:7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</row>
    <row r="1100" spans="1:7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</row>
    <row r="1101" spans="1:7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</row>
    <row r="1102" spans="1:7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</row>
    <row r="1103" spans="1:7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</row>
    <row r="1105" spans="1:7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</row>
    <row r="1107" spans="1:7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</row>
    <row r="1109" spans="1:7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</row>
    <row r="1110" spans="1:7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</row>
    <row r="1111" spans="1:7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</row>
    <row r="1112" spans="1:7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</row>
    <row r="1113" spans="1:7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</row>
    <row r="1114" spans="1:7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</row>
    <row r="1115" spans="1:7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</row>
    <row r="1116" spans="1:7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</row>
    <row r="1117" spans="1:7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</row>
    <row r="1118" spans="1:7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</row>
    <row r="1119" spans="1:7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</row>
    <row r="1120" spans="1:7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</row>
    <row r="1121" spans="1:7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</row>
    <row r="1122" spans="1:7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</row>
    <row r="1123" spans="1:7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</row>
    <row r="1124" spans="1:7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</row>
    <row r="1125" spans="1:7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</row>
    <row r="1126" spans="1:7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</row>
    <row r="1127" spans="1:7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</row>
    <row r="1128" spans="1:7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</row>
    <row r="1129" spans="1:7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</row>
    <row r="1130" spans="1:7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</row>
    <row r="1131" spans="1:7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</row>
    <row r="1134" spans="1:7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</row>
    <row r="1135" spans="1:7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</row>
    <row r="1136" spans="1:7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</row>
    <row r="1137" spans="1:7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</row>
    <row r="1138" spans="1:7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</row>
    <row r="1139" spans="1:7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</row>
    <row r="1140" spans="1:7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</row>
    <row r="1141" spans="1:7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</row>
    <row r="1142" spans="1:7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</row>
    <row r="1143" spans="1:7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</row>
    <row r="1144" spans="1:7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</row>
    <row r="1145" spans="1:7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</row>
    <row r="1146" spans="1:7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</row>
    <row r="1147" spans="1:7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</row>
    <row r="1149" spans="1:7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</row>
    <row r="1150" spans="1:7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</row>
    <row r="1151" spans="1:7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</row>
    <row r="1152" spans="1:7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</row>
    <row r="1153" spans="1:7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</row>
    <row r="1154" spans="1:7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</row>
    <row r="1155" spans="1:7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</row>
    <row r="1156" spans="1:7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</row>
    <row r="1157" spans="1:7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</row>
    <row r="1158" spans="1:7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</row>
    <row r="1159" spans="1:7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</row>
    <row r="1160" spans="1:7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</row>
    <row r="1161" spans="1:7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</row>
    <row r="1162" spans="1:7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</row>
    <row r="1163" spans="1:7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</row>
    <row r="1164" spans="1:7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</row>
    <row r="1165" spans="1:7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</row>
    <row r="1166" spans="1:7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</row>
    <row r="1167" spans="1:7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</row>
    <row r="1168" spans="1:7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</row>
    <row r="1169" spans="1:7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</row>
    <row r="1170" spans="1:7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</row>
    <row r="1171" spans="1:7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</row>
    <row r="1172" spans="1:7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</row>
    <row r="1173" spans="1:7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</row>
    <row r="1174" spans="1:7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</row>
    <row r="1175" spans="1:7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</row>
    <row r="1176" spans="1:7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</row>
    <row r="1177" spans="1:7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</row>
    <row r="1178" spans="1:7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</row>
    <row r="1179" spans="1:7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</row>
    <row r="1180" spans="1:7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</row>
    <row r="1181" spans="1:7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</row>
    <row r="1182" spans="1:7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</row>
    <row r="1183" spans="1:7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</row>
    <row r="1184" spans="1:7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</row>
    <row r="1185" spans="1:7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</row>
    <row r="1186" spans="1:7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</row>
    <row r="1187" spans="1:7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</row>
    <row r="1188" spans="1:7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</row>
    <row r="1189" spans="1:7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</row>
    <row r="1190" spans="1:7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</row>
    <row r="1191" spans="1:7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</row>
    <row r="1192" spans="1:7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</row>
    <row r="1193" spans="1:7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</row>
    <row r="1194" spans="1:7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</row>
    <row r="1195" spans="1:7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</row>
    <row r="1196" spans="1:7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</row>
    <row r="1197" spans="1:7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</row>
    <row r="1199" spans="1:7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</row>
    <row r="1200" spans="1:7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</row>
    <row r="1201" spans="1:7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</row>
    <row r="1202" spans="1:7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</row>
    <row r="1203" spans="1:7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</row>
    <row r="1204" spans="1:7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</row>
    <row r="1205" spans="1:7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</row>
    <row r="1207" spans="1:7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</row>
    <row r="1208" spans="1:7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</row>
    <row r="1210" spans="1:7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</row>
    <row r="1211" spans="1:7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</row>
    <row r="1213" spans="1:7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</row>
    <row r="1214" spans="1:7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</row>
    <row r="1215" spans="1:7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</row>
    <row r="1216" spans="1:7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</row>
    <row r="1217" spans="1:7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</row>
    <row r="1218" spans="1:7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</row>
    <row r="1219" spans="1:7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</row>
    <row r="1220" spans="1:7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</row>
    <row r="1221" spans="1:7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</row>
    <row r="1222" spans="1:7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</row>
    <row r="1223" spans="1:7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</row>
    <row r="1224" spans="1:7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</row>
    <row r="1226" spans="1:7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</row>
    <row r="1227" spans="1:7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</row>
    <row r="1228" spans="1:7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</row>
    <row r="1229" spans="1:7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</row>
    <row r="1230" spans="1:7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</row>
    <row r="1231" spans="1:7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</row>
    <row r="1232" spans="1:7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</row>
    <row r="1233" spans="1:7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</row>
    <row r="1234" spans="1:7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</row>
    <row r="1235" spans="1:7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</row>
    <row r="1236" spans="1:7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</row>
    <row r="1237" spans="1:7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</row>
    <row r="1239" spans="1:7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</row>
    <row r="1240" spans="1:7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</row>
    <row r="1241" spans="1:7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</row>
    <row r="1242" spans="1:7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</row>
    <row r="1243" spans="1:7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</row>
    <row r="1244" spans="1:7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</row>
    <row r="1245" spans="1:7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</row>
    <row r="1246" spans="1:7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</row>
    <row r="1247" spans="1:7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</row>
    <row r="1248" spans="1:7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</row>
    <row r="1249" spans="1:7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</row>
    <row r="1250" spans="1:7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</row>
    <row r="1251" spans="1:7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</row>
    <row r="1252" spans="1:7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</row>
    <row r="1253" spans="1:7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</row>
    <row r="1254" spans="1:7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</row>
    <row r="1255" spans="1:7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</row>
    <row r="1256" spans="1:7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</row>
    <row r="1257" spans="1:7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</row>
    <row r="1258" spans="1:7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</row>
    <row r="1259" spans="1:7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</row>
    <row r="1260" spans="1:7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</row>
    <row r="1261" spans="1:7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</row>
    <row r="1262" spans="1:7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</row>
    <row r="1263" spans="1:7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</row>
    <row r="1265" spans="1:7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</row>
    <row r="1266" spans="1:7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</row>
    <row r="1267" spans="1:7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</row>
    <row r="1268" spans="1:7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</row>
    <row r="1269" spans="1:7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</row>
    <row r="1270" spans="1:7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</row>
    <row r="1271" spans="1:7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</row>
    <row r="1272" spans="1:7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</row>
    <row r="1273" spans="1:7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</row>
    <row r="1274" spans="1:7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</row>
    <row r="1275" spans="1:7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</row>
    <row r="1276" spans="1:7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</row>
    <row r="1277" spans="1:7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</row>
    <row r="1278" spans="1:7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</row>
    <row r="1279" spans="1:7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</row>
    <row r="1280" spans="1:7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</row>
    <row r="1281" spans="1:7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</row>
    <row r="1283" spans="1:7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</row>
    <row r="1284" spans="1:7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</row>
    <row r="1285" spans="1:7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</row>
    <row r="1286" spans="1:7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</row>
    <row r="1287" spans="1:7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</row>
    <row r="1288" spans="1:7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</row>
    <row r="1289" spans="1:7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</row>
    <row r="1290" spans="1:7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</row>
    <row r="1292" spans="1:7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</row>
    <row r="1293" spans="1:7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</row>
    <row r="1294" spans="1:7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</row>
    <row r="1295" spans="1:7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</row>
    <row r="1296" spans="1:7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</row>
    <row r="1297" spans="1:7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</row>
    <row r="1298" spans="1:7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</row>
    <row r="1299" spans="1:7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</row>
    <row r="1300" spans="1:7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</row>
    <row r="1301" spans="1:7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</row>
    <row r="1302" spans="1:7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</row>
    <row r="1304" spans="1:7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</row>
    <row r="1305" spans="1:7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</row>
    <row r="1306" spans="1:7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</row>
    <row r="1307" spans="1:7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</row>
    <row r="1308" spans="1:7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</row>
    <row r="1309" spans="1:7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</row>
    <row r="1310" spans="1:7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</row>
    <row r="1311" spans="1:7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</row>
    <row r="1312" spans="1:7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</row>
    <row r="1313" spans="1:7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</row>
    <row r="1314" spans="1:7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</row>
    <row r="1315" spans="1:7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</row>
    <row r="1316" spans="1:7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</row>
    <row r="1317" spans="1:7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</row>
    <row r="1318" spans="1:7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</row>
    <row r="1319" spans="1:7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</row>
    <row r="1320" spans="1:7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</row>
    <row r="1321" spans="1:7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</row>
    <row r="1322" spans="1:7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</row>
    <row r="1323" spans="1:7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</row>
    <row r="1324" spans="1:7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</row>
    <row r="1325" spans="1:7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</row>
    <row r="1326" spans="1:7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</row>
    <row r="1327" spans="1:7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</row>
    <row r="1328" spans="1:7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</row>
    <row r="1329" spans="1:7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</row>
    <row r="1330" spans="1:7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</row>
    <row r="1331" spans="1:7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</row>
    <row r="1332" spans="1:7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</row>
    <row r="1333" spans="1:7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</row>
    <row r="1334" spans="1:7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</row>
    <row r="1335" spans="1:7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</row>
    <row r="1336" spans="1:7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</row>
    <row r="1337" spans="1:7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</row>
    <row r="1338" spans="1:7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</row>
    <row r="1339" spans="1:7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</row>
    <row r="1340" spans="1:7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</row>
    <row r="1342" spans="1:7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</row>
    <row r="1343" spans="1:7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</row>
    <row r="1344" spans="1:7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</row>
    <row r="1345" spans="1:7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</row>
    <row r="1346" spans="1:7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</row>
    <row r="1347" spans="1:7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</row>
    <row r="1348" spans="1:7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</row>
    <row r="1349" spans="1:7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</row>
    <row r="1350" spans="1:7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</row>
    <row r="1351" spans="1:7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</row>
    <row r="1352" spans="1:7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</row>
    <row r="1353" spans="1:7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</row>
    <row r="1354" spans="1:7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</row>
    <row r="1355" spans="1:7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</row>
    <row r="1356" spans="1:7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</row>
    <row r="1357" spans="1:7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</row>
    <row r="1358" spans="1:7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</row>
    <row r="1359" spans="1:7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</row>
    <row r="1360" spans="1:7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</row>
    <row r="1361" spans="1:7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</row>
    <row r="1362" spans="1:7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</row>
    <row r="1363" spans="1:7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</row>
    <row r="1364" spans="1:7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</row>
    <row r="1365" spans="1:7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</row>
    <row r="1366" spans="1:7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</row>
    <row r="1367" spans="1:7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</row>
    <row r="1368" spans="1:7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</row>
    <row r="1369" spans="1:7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</row>
    <row r="1370" spans="1:7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</row>
    <row r="1371" spans="1:7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</row>
    <row r="1372" spans="1:7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</row>
    <row r="1373" spans="1:7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</row>
    <row r="1374" spans="1:7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</row>
    <row r="1375" spans="1:7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</row>
    <row r="1376" spans="1:7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</row>
    <row r="1377" spans="1:7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</row>
    <row r="1378" spans="1:7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</row>
    <row r="1379" spans="1:7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</row>
    <row r="1380" spans="1:7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</row>
    <row r="1381" spans="1:7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</row>
    <row r="1382" spans="1:7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</row>
    <row r="1383" spans="1:7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</row>
    <row r="1384" spans="1:7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</row>
    <row r="1385" spans="1:7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</row>
    <row r="1386" spans="1:7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</row>
    <row r="1387" spans="1:7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</row>
    <row r="1388" spans="1:7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</row>
    <row r="1389" spans="1:7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</row>
    <row r="1390" spans="1:7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</row>
    <row r="1391" spans="1:7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</row>
    <row r="1392" spans="1:7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</row>
    <row r="1393" spans="1:7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</row>
    <row r="1394" spans="1:7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</row>
    <row r="1395" spans="1:7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</row>
    <row r="1396" spans="1:7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</row>
    <row r="1397" spans="1:7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</row>
    <row r="1398" spans="1:7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</row>
    <row r="1399" spans="1:7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</row>
    <row r="1400" spans="1:7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</row>
    <row r="1401" spans="1:7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</row>
    <row r="1402" spans="1:7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</row>
    <row r="1403" spans="1:7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</row>
    <row r="1404" spans="1:7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</row>
    <row r="1405" spans="1:7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</row>
    <row r="1406" spans="1:7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</row>
    <row r="1407" spans="1:7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</row>
    <row r="1408" spans="1:7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</row>
    <row r="1410" spans="1:7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</row>
    <row r="1411" spans="1:7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</row>
    <row r="1412" spans="1:7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</row>
    <row r="1413" spans="1:7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</row>
    <row r="1414" spans="1:7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</row>
    <row r="1416" spans="1:7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</row>
    <row r="1418" spans="1:7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</row>
    <row r="1419" spans="1:7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</row>
    <row r="1420" spans="1:7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</row>
    <row r="1421" spans="1:7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</row>
    <row r="1422" spans="1:7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</row>
    <row r="1423" spans="1:7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</row>
    <row r="1424" spans="1:7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</row>
    <row r="1425" spans="1:7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</row>
    <row r="1426" spans="1:7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</row>
    <row r="1427" spans="1:7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</row>
    <row r="1428" spans="1:7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</row>
    <row r="1429" spans="1:7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</row>
    <row r="1430" spans="1:7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</row>
    <row r="1431" spans="1:7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</row>
    <row r="1432" spans="1:7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</row>
    <row r="1433" spans="1:7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</row>
    <row r="1434" spans="1:7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</row>
    <row r="1435" spans="1:7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</row>
    <row r="1436" spans="1:7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</row>
    <row r="1437" spans="1:7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</row>
    <row r="1438" spans="1:7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</row>
    <row r="1439" spans="1:7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</row>
    <row r="1440" spans="1:7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</row>
    <row r="1441" spans="1:7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</row>
    <row r="1442" spans="1:7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</row>
    <row r="1443" spans="1:7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</row>
    <row r="1444" spans="1:7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</row>
    <row r="1445" spans="1:7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</row>
    <row r="1446" spans="1:7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</row>
    <row r="1447" spans="1:7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</row>
    <row r="1448" spans="1:7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</row>
    <row r="1449" spans="1:7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</row>
    <row r="1450" spans="1:7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</row>
    <row r="1451" spans="1:7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</row>
    <row r="1452" spans="1:7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</row>
    <row r="1453" spans="1:7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</row>
    <row r="1454" spans="1:7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</row>
    <row r="1455" spans="1:7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</row>
    <row r="1456" spans="1:7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</row>
    <row r="1457" spans="1:7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</row>
    <row r="1458" spans="1:7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</row>
    <row r="1459" spans="1:7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</row>
    <row r="1460" spans="1:7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</row>
    <row r="1461" spans="1:7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</row>
    <row r="1462" spans="1:7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</row>
    <row r="1463" spans="1:7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</row>
    <row r="1464" spans="1:7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</row>
    <row r="1465" spans="1:7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</row>
    <row r="1466" spans="1:7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</row>
    <row r="1467" spans="1:7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</row>
    <row r="1468" spans="1:7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</row>
    <row r="1469" spans="1:7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</row>
    <row r="1470" spans="1:7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</row>
    <row r="1471" spans="1:7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</row>
    <row r="1472" spans="1:7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</row>
    <row r="1473" spans="1:7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</row>
    <row r="1474" spans="1:7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</row>
    <row r="1475" spans="1:7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</row>
    <row r="1476" spans="1:7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</row>
    <row r="1478" spans="1:7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</row>
    <row r="1479" spans="1:7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</row>
    <row r="1480" spans="1:7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</row>
    <row r="1481" spans="1:7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</row>
    <row r="1482" spans="1:7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</row>
    <row r="1483" spans="1:7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</row>
    <row r="1484" spans="1:7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</row>
    <row r="1485" spans="1:7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</row>
    <row r="1486" spans="1:7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</row>
    <row r="1487" spans="1:7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</row>
    <row r="1488" spans="1:7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</row>
    <row r="1489" spans="1:7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</row>
    <row r="1490" spans="1:7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</row>
    <row r="1491" spans="1:7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</row>
    <row r="1492" spans="1:7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</row>
    <row r="1493" spans="1:7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</row>
    <row r="1494" spans="1:7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</row>
    <row r="1495" spans="1:7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</row>
    <row r="1496" spans="1:7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</row>
    <row r="1497" spans="1:7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</row>
    <row r="1498" spans="1:7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</row>
    <row r="1499" spans="1:7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</row>
    <row r="1500" spans="1:7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</row>
    <row r="1501" spans="1:7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</row>
    <row r="1502" spans="1:7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</row>
    <row r="1504" spans="1:7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</row>
    <row r="1505" spans="1:7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</row>
    <row r="1506" spans="1:7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</row>
    <row r="1507" spans="1:7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</row>
    <row r="1508" spans="1:7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</row>
    <row r="1509" spans="1:7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</row>
    <row r="1510" spans="1:7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</row>
    <row r="1511" spans="1:7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</row>
    <row r="1512" spans="1:7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</row>
    <row r="1513" spans="1:7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90">
        <v>2455</v>
      </c>
      <c r="B2" s="90" t="s">
        <v>10</v>
      </c>
      <c r="C2" s="90">
        <f>VLOOKUP("營業收入淨額",PKA!$B$1:$L$500,9,0)</f>
        <v>408</v>
      </c>
      <c r="D2" s="90">
        <f>VLOOKUP("營業收入淨額",PKA!$B$1:$L$500,8,0)</f>
        <v>376</v>
      </c>
      <c r="E2" s="90">
        <f>VLOOKUP("營業收入淨額",PKA!$B$1:$L$500,7,0)</f>
        <v>527</v>
      </c>
      <c r="F2" s="90">
        <f>VLOOKUP("營業收入淨額",PKA!$B$1:$L$500,6,0)</f>
        <v>605</v>
      </c>
      <c r="G2" s="90">
        <f>VLOOKUP("營業收入淨額",PKA!$B$1:$L$500,5,0)</f>
        <v>565</v>
      </c>
      <c r="H2" s="90">
        <f>VLOOKUP("營業收入淨額",PKA!$B$1:$L$500,4,0)</f>
        <v>525</v>
      </c>
      <c r="I2" s="90">
        <f>VLOOKUP("營業收入淨額",PKA!$B$1:$L$500,3,0)</f>
        <v>650</v>
      </c>
      <c r="J2" s="90">
        <f>VLOOKUP("營業收入淨額",PKA!$B$1:$L$500,2,0)</f>
        <v>590</v>
      </c>
      <c r="K2" s="90">
        <f>IF(ISNA(C4),MIN(C2:J3),MIN(C2:J4))</f>
        <v>225</v>
      </c>
      <c r="L2" s="90">
        <f>IF(ISNA(C4),MAX(C2:J3),MAX(C2:J3))</f>
        <v>1197</v>
      </c>
    </row>
    <row r="3" spans="1:12">
      <c r="A3" s="90">
        <v>8086</v>
      </c>
      <c r="B3" s="90" t="s">
        <v>10</v>
      </c>
      <c r="C3" s="90">
        <f>VLOOKUP("營業收入淨額",PKB!$B$1:$L$500,9,0)</f>
        <v>225</v>
      </c>
      <c r="D3" s="90">
        <f>VLOOKUP("營業收入淨額",PKB!$B$1:$L$500,8,0)</f>
        <v>268</v>
      </c>
      <c r="E3" s="90">
        <f>VLOOKUP("營業收入淨額",PKB!$B$1:$L$500,7,0)</f>
        <v>523</v>
      </c>
      <c r="F3" s="90">
        <f>VLOOKUP("營業收入淨額",PKB!$B$1:$L$500,6,0)</f>
        <v>843</v>
      </c>
      <c r="G3" s="90">
        <f>VLOOKUP("營業收入淨額",PKB!$B$1:$L$500,5,0)</f>
        <v>1035</v>
      </c>
      <c r="H3" s="90">
        <f>VLOOKUP("營業收入淨額",PKB!$B$1:$L$500,4,0)</f>
        <v>1016</v>
      </c>
      <c r="I3" s="90">
        <f>VLOOKUP("營業收入淨額",PKB!$B$1:$L$500,3,0)</f>
        <v>1098</v>
      </c>
      <c r="J3" s="90">
        <f>VLOOKUP("營業收入淨額",PKB!$B$1:$L$500,2,0)</f>
        <v>1197</v>
      </c>
      <c r="K3" s="90"/>
      <c r="L3" s="90"/>
    </row>
    <row r="4" spans="1:12">
      <c r="A4" s="90">
        <v>3105</v>
      </c>
      <c r="B4" s="90" t="s">
        <v>10</v>
      </c>
      <c r="C4" s="90">
        <f>VLOOKUP("營業收入淨額",PKC!$B$1:$L$500,9,0)</f>
        <v>1926</v>
      </c>
      <c r="D4" s="90">
        <f>VLOOKUP("營業收入淨額",PKC!$B$1:$L$500,8,0)</f>
        <v>1667</v>
      </c>
      <c r="E4" s="90">
        <f>VLOOKUP("營業收入淨額",PKC!$B$1:$L$500,7,0)</f>
        <v>2461</v>
      </c>
      <c r="F4" s="90">
        <f>VLOOKUP("營業收入淨額",PKC!$B$1:$L$500,6,0)</f>
        <v>3069</v>
      </c>
      <c r="G4" s="90">
        <f>VLOOKUP("營業收入淨額",PKC!$B$1:$L$500,5,0)</f>
        <v>2713</v>
      </c>
      <c r="H4" s="90">
        <f>VLOOKUP("營業收入淨額",PKC!$B$1:$L$500,4,0)</f>
        <v>2807</v>
      </c>
      <c r="I4" s="90">
        <f>VLOOKUP("營業收入淨額",PKC!$B$1:$L$500,3,0)</f>
        <v>3099</v>
      </c>
      <c r="J4" s="90">
        <f>VLOOKUP("營業收入淨額",PKC!$B$1:$L$500,2,0)</f>
        <v>2913</v>
      </c>
      <c r="K4" s="90"/>
      <c r="L4" s="90"/>
    </row>
    <row r="5" spans="1:12">
      <c r="A5" s="91">
        <v>2455</v>
      </c>
      <c r="B5" s="91" t="s">
        <v>11</v>
      </c>
      <c r="C5" s="91">
        <f>VLOOKUP("營業成本",PKA!$B$1:$L$500,9,0)</f>
        <v>290</v>
      </c>
      <c r="D5" s="91">
        <f>VLOOKUP("營業成本",PKA!$B$1:$L$500,8,0)</f>
        <v>256</v>
      </c>
      <c r="E5" s="91">
        <f>VLOOKUP("營業成本",PKA!$B$1:$L$500,7,0)</f>
        <v>349</v>
      </c>
      <c r="F5" s="91">
        <f>VLOOKUP("營業成本",PKA!$B$1:$L$500,6,0)</f>
        <v>390</v>
      </c>
      <c r="G5" s="91">
        <f>VLOOKUP("營業成本",PKA!$B$1:$L$500,5,0)</f>
        <v>357</v>
      </c>
      <c r="H5" s="91">
        <f>VLOOKUP("營業成本",PKA!$B$1:$L$500,4,0)</f>
        <v>320</v>
      </c>
      <c r="I5" s="91">
        <f>VLOOKUP("營業成本",PKA!$B$1:$L$500,3,0)</f>
        <v>399</v>
      </c>
      <c r="J5" s="91">
        <f>VLOOKUP("營業成本",PKA!$B$1:$L$500,2,0)</f>
        <v>379</v>
      </c>
      <c r="K5" s="91"/>
      <c r="L5" s="91"/>
    </row>
    <row r="6" spans="1:12">
      <c r="A6" s="91">
        <v>8086</v>
      </c>
      <c r="B6" s="91" t="s">
        <v>11</v>
      </c>
      <c r="C6" s="91">
        <f>VLOOKUP("營業成本",PKB!$B$1:$L$500,9,0)</f>
        <v>212</v>
      </c>
      <c r="D6" s="91">
        <f>VLOOKUP("營業成本",PKB!$B$1:$L$500,8,0)</f>
        <v>263</v>
      </c>
      <c r="E6" s="91">
        <f>VLOOKUP("營業成本",PKB!$B$1:$L$500,7,0)</f>
        <v>429</v>
      </c>
      <c r="F6" s="91">
        <f>VLOOKUP("營業成本",PKB!$B$1:$L$500,6,0)</f>
        <v>665</v>
      </c>
      <c r="G6" s="91">
        <f>VLOOKUP("營業成本",PKB!$B$1:$L$500,5,0)</f>
        <v>734</v>
      </c>
      <c r="H6" s="91">
        <f>VLOOKUP("營業成本",PKB!$B$1:$L$500,4,0)</f>
        <v>680</v>
      </c>
      <c r="I6" s="91">
        <f>VLOOKUP("營業成本",PKB!$B$1:$L$500,3,0)</f>
        <v>721</v>
      </c>
      <c r="J6" s="91">
        <f>VLOOKUP("營業成本",PKB!$B$1:$L$500,2,0)</f>
        <v>800</v>
      </c>
      <c r="K6" s="91"/>
      <c r="L6" s="91"/>
    </row>
    <row r="7" spans="1:12">
      <c r="A7" s="91">
        <v>3105</v>
      </c>
      <c r="B7" s="91" t="s">
        <v>11</v>
      </c>
      <c r="C7" s="91">
        <f>VLOOKUP("營業成本",PKC!$B$1:$L$500,9,0)</f>
        <v>1414</v>
      </c>
      <c r="D7" s="91">
        <f>VLOOKUP("營業成本",PKC!$B$1:$L$500,8,0)</f>
        <v>1167</v>
      </c>
      <c r="E7" s="91">
        <f>VLOOKUP("營業成本",PKC!$B$1:$L$500,7,0)</f>
        <v>1599</v>
      </c>
      <c r="F7" s="91">
        <f>VLOOKUP("營業成本",PKC!$B$1:$L$500,6,0)</f>
        <v>1932</v>
      </c>
      <c r="G7" s="91">
        <f>VLOOKUP("營業成本",PKC!$B$1:$L$500,5,0)</f>
        <v>1702</v>
      </c>
      <c r="H7" s="91">
        <f>VLOOKUP("營業成本",PKC!$B$1:$L$500,4,0)</f>
        <v>1744</v>
      </c>
      <c r="I7" s="91">
        <f>VLOOKUP("營業成本",PKC!$B$1:$L$500,3,0)</f>
        <v>1898</v>
      </c>
      <c r="J7" s="91">
        <f>VLOOKUP("營業成本",PKC!$B$1:$L$500,2,0)</f>
        <v>1735</v>
      </c>
      <c r="K7" s="91"/>
      <c r="L7" s="91"/>
    </row>
    <row r="8" spans="1:12">
      <c r="A8" s="92">
        <v>2455</v>
      </c>
      <c r="B8" s="92" t="s">
        <v>13</v>
      </c>
      <c r="C8" s="92">
        <f>VLOOKUP("本期稅後淨利",PKA!$B$1:$L$500,9,0)</f>
        <v>62</v>
      </c>
      <c r="D8" s="92">
        <f>VLOOKUP("本期稅後淨利",PKA!$B$1:$L$500,8,0)</f>
        <v>74</v>
      </c>
      <c r="E8" s="92">
        <f>VLOOKUP("本期稅後淨利",PKA!$B$1:$L$500,7,0)</f>
        <v>88</v>
      </c>
      <c r="F8" s="92">
        <f>VLOOKUP("本期稅後淨利",PKA!$B$1:$L$500,6,0)</f>
        <v>155</v>
      </c>
      <c r="G8" s="92">
        <f>VLOOKUP("本期稅後淨利",PKA!$B$1:$L$500,5,0)</f>
        <v>151</v>
      </c>
      <c r="H8" s="92">
        <f>VLOOKUP("本期稅後淨利",PKA!$B$1:$L$500,4,0)</f>
        <v>133</v>
      </c>
      <c r="I8" s="92">
        <f>VLOOKUP("本期稅後淨利",PKA!$B$1:$L$500,3,0)</f>
        <v>173</v>
      </c>
      <c r="J8" s="92">
        <f>VLOOKUP("本期稅後淨利",PKA!$B$1:$L$500,2,0)</f>
        <v>171</v>
      </c>
      <c r="K8" s="92"/>
      <c r="L8" s="92"/>
    </row>
    <row r="9" spans="1:12">
      <c r="A9" s="92">
        <v>8086</v>
      </c>
      <c r="B9" s="92" t="s">
        <v>13</v>
      </c>
      <c r="C9" s="92">
        <f>VLOOKUP("本期稅後淨利",PKB!$B$1:$L$500,9,0)</f>
        <v>-24</v>
      </c>
      <c r="D9" s="92">
        <f>VLOOKUP("本期稅後淨利",PKB!$B$1:$L$500,8,0)</f>
        <v>-18</v>
      </c>
      <c r="E9" s="92">
        <f>VLOOKUP("本期稅後淨利",PKB!$B$1:$L$500,7,0)</f>
        <v>41</v>
      </c>
      <c r="F9" s="92">
        <f>VLOOKUP("本期稅後淨利",PKB!$B$1:$L$500,6,0)</f>
        <v>119</v>
      </c>
      <c r="G9" s="92">
        <f>VLOOKUP("本期稅後淨利",PKB!$B$1:$L$500,5,0)</f>
        <v>232</v>
      </c>
      <c r="H9" s="92">
        <f>VLOOKUP("本期稅後淨利",PKB!$B$1:$L$500,4,0)</f>
        <v>236</v>
      </c>
      <c r="I9" s="92">
        <f>VLOOKUP("本期稅後淨利",PKB!$B$1:$L$500,3,0)</f>
        <v>265</v>
      </c>
      <c r="J9" s="92">
        <f>VLOOKUP("本期稅後淨利",PKB!$B$1:$L$500,2,0)</f>
        <v>314</v>
      </c>
      <c r="K9" s="92"/>
      <c r="L9" s="92"/>
    </row>
    <row r="10" spans="1:12">
      <c r="A10" s="92">
        <v>3105</v>
      </c>
      <c r="B10" s="92" t="s">
        <v>13</v>
      </c>
      <c r="C10" s="92">
        <f>VLOOKUP("本期稅後淨利",PKC!$B$1:$L$500,9,0)</f>
        <v>126</v>
      </c>
      <c r="D10" s="92">
        <f>VLOOKUP("本期稅後淨利",PKC!$B$1:$L$500,8,0)</f>
        <v>213</v>
      </c>
      <c r="E10" s="92">
        <f>VLOOKUP("本期稅後淨利",PKC!$B$1:$L$500,7,0)</f>
        <v>440</v>
      </c>
      <c r="F10" s="92">
        <f>VLOOKUP("本期稅後淨利",PKC!$B$1:$L$500,6,0)</f>
        <v>753</v>
      </c>
      <c r="G10" s="92">
        <f>VLOOKUP("本期稅後淨利",PKC!$B$1:$L$500,5,0)</f>
        <v>557</v>
      </c>
      <c r="H10" s="92">
        <f>VLOOKUP("本期稅後淨利",PKC!$B$1:$L$500,4,0)</f>
        <v>618</v>
      </c>
      <c r="I10" s="92">
        <f>VLOOKUP("本期稅後淨利",PKC!$B$1:$L$500,3,0)</f>
        <v>537</v>
      </c>
      <c r="J10" s="92">
        <f>VLOOKUP("本期稅後淨利",PKC!$B$1:$L$500,2,0)</f>
        <v>805</v>
      </c>
      <c r="K10" s="92"/>
      <c r="L10" s="92"/>
    </row>
    <row r="11" spans="1:12">
      <c r="A11" s="93">
        <v>2455</v>
      </c>
      <c r="B11" s="93" t="s">
        <v>209</v>
      </c>
      <c r="C11" s="93">
        <f>VLOOKUP("每股盈餘 (元)",PKA!$B$1:$L$500,9,0)</f>
        <v>0.25</v>
      </c>
      <c r="D11" s="93">
        <f>VLOOKUP("每股盈餘 (元)",PKA!$B$1:$L$500,8,0)</f>
        <v>0.3</v>
      </c>
      <c r="E11" s="93">
        <f>VLOOKUP("每股盈餘 (元)",PKA!$B$1:$L$500,7,0)</f>
        <v>0.36</v>
      </c>
      <c r="F11" s="93">
        <f>VLOOKUP("每股盈餘 (元)",PKA!$B$1:$L$500,6,0)</f>
        <v>0.63</v>
      </c>
      <c r="G11" s="93">
        <f>VLOOKUP("每股盈餘 (元)",PKA!$B$1:$L$500,5,0)</f>
        <v>0.61</v>
      </c>
      <c r="H11" s="93">
        <f>VLOOKUP("每股盈餘 (元)",PKA!$B$1:$L$500,4,0)</f>
        <v>0.54</v>
      </c>
      <c r="I11" s="93">
        <f>VLOOKUP("每股盈餘 (元)",PKA!$B$1:$L$500,3,0)</f>
        <v>0.7</v>
      </c>
      <c r="J11" s="93">
        <f>VLOOKUP("每股盈餘 (元)",PKA!$B$1:$L$500,2,0)</f>
        <v>0.69</v>
      </c>
      <c r="K11" s="93"/>
      <c r="L11" s="93">
        <f>(SUM(G11:J11)/2)+(J11+I11)/2+(((G11-F11)/F11)+1)*J11</f>
        <v>2.6330952380952377</v>
      </c>
    </row>
    <row r="12" spans="1:12">
      <c r="A12" s="93">
        <v>8086</v>
      </c>
      <c r="B12" s="93" t="s">
        <v>209</v>
      </c>
      <c r="C12" s="93">
        <f>VLOOKUP("每股盈餘 (元)",PKB!$B$1:$L$500,9,0)</f>
        <v>-0.18</v>
      </c>
      <c r="D12" s="93">
        <f>VLOOKUP("每股盈餘 (元)",PKB!$B$1:$L$500,8,0)</f>
        <v>-0.13</v>
      </c>
      <c r="E12" s="93">
        <f>VLOOKUP("每股盈餘 (元)",PKB!$B$1:$L$500,7,0)</f>
        <v>0.3</v>
      </c>
      <c r="F12" s="93">
        <f>VLOOKUP("每股盈餘 (元)",PKB!$B$1:$L$500,6,0)</f>
        <v>0.88</v>
      </c>
      <c r="G12" s="93">
        <f>VLOOKUP("每股盈餘 (元)",PKB!$B$1:$L$500,5,0)</f>
        <v>1.71</v>
      </c>
      <c r="H12" s="93">
        <f>VLOOKUP("每股盈餘 (元)",PKB!$B$1:$L$500,4,0)</f>
        <v>1.73</v>
      </c>
      <c r="I12" s="93">
        <f>VLOOKUP("每股盈餘 (元)",PKB!$B$1:$L$500,3,0)</f>
        <v>1.93</v>
      </c>
      <c r="J12" s="93">
        <f>VLOOKUP("每股盈餘 (元)",PKB!$B$1:$L$500,2,0)</f>
        <v>2.25</v>
      </c>
      <c r="K12" s="93"/>
      <c r="L12" s="93">
        <f>(SUM(G12:J12)/2)+(J12+I12)/2+(((G12-F12)/F12)+1)*J12</f>
        <v>10.272159090909092</v>
      </c>
    </row>
    <row r="13" spans="1:12">
      <c r="A13" s="93">
        <v>3105</v>
      </c>
      <c r="B13" s="93" t="s">
        <v>209</v>
      </c>
      <c r="C13" s="93">
        <f>VLOOKUP("每股盈餘 (元)",PKC!$B$1:$L$500,9,0)</f>
        <v>0.17</v>
      </c>
      <c r="D13" s="93">
        <f>VLOOKUP("每股盈餘 (元)",PKC!$B$1:$L$500,8,0)</f>
        <v>0.28999999999999998</v>
      </c>
      <c r="E13" s="93">
        <f>VLOOKUP("每股盈餘 (元)",PKC!$B$1:$L$500,7,0)</f>
        <v>0.59</v>
      </c>
      <c r="F13" s="93">
        <f>VLOOKUP("每股盈餘 (元)",PKC!$B$1:$L$500,6,0)</f>
        <v>1.02</v>
      </c>
      <c r="G13" s="93">
        <f>VLOOKUP("每股盈餘 (元)",PKC!$B$1:$L$500,5,0)</f>
        <v>0.75</v>
      </c>
      <c r="H13" s="93">
        <f>VLOOKUP("每股盈餘 (元)",PKC!$B$1:$L$500,4,0)</f>
        <v>0.83</v>
      </c>
      <c r="I13" s="93">
        <f>VLOOKUP("每股盈餘 (元)",PKC!$B$1:$L$500,3,0)</f>
        <v>0.72</v>
      </c>
      <c r="J13" s="93">
        <f>VLOOKUP("每股盈餘 (元)",PKC!$B$1:$L$500,2,0)</f>
        <v>1.32</v>
      </c>
      <c r="K13" s="93"/>
      <c r="L13" s="93">
        <f>(SUM(G13:J13)/2)+(J13+I13)/2+(((G13-F13)/F13)+1)*J13</f>
        <v>3.8005882352941178</v>
      </c>
    </row>
    <row r="14" spans="1:12">
      <c r="A14" s="94">
        <v>2455</v>
      </c>
      <c r="B14" s="94" t="s">
        <v>190</v>
      </c>
      <c r="C14" s="94">
        <f>VLOOKUP(" 應收帳款及票據",PKA!$B$1:$L$500,9,0)</f>
        <v>256</v>
      </c>
      <c r="D14" s="94">
        <f>VLOOKUP(" 應收帳款及票據",PKA!$B$1:$L$500,8,0)</f>
        <v>270</v>
      </c>
      <c r="E14" s="94">
        <f>VLOOKUP(" 應收帳款及票據",PKA!$B$1:$L$500,7,0)</f>
        <v>347</v>
      </c>
      <c r="F14" s="94">
        <f>VLOOKUP(" 應收帳款及票據",PKA!$B$1:$L$500,6,0)</f>
        <v>396</v>
      </c>
      <c r="G14" s="94">
        <f>VLOOKUP(" 應收帳款及票據",PKA!$B$1:$L$500,5,0)</f>
        <v>374</v>
      </c>
      <c r="H14" s="94">
        <f>VLOOKUP(" 應收帳款及票據",PKA!$B$1:$L$500,4,0)</f>
        <v>364</v>
      </c>
      <c r="I14" s="94">
        <f>VLOOKUP(" 應收帳款及票據",PKA!$B$1:$L$500,3,0)</f>
        <v>453</v>
      </c>
      <c r="J14" s="94">
        <f>VLOOKUP(" 應收帳款及票據",PKA!$B$1:$L$500,2,0)</f>
        <v>382</v>
      </c>
      <c r="K14" s="94"/>
      <c r="L14" s="94"/>
    </row>
    <row r="15" spans="1:12">
      <c r="A15" s="94">
        <v>8086</v>
      </c>
      <c r="B15" s="94" t="s">
        <v>190</v>
      </c>
      <c r="C15" s="94">
        <f>VLOOKUP(" 應收帳款及票據",PKB!$B$1:$L$500,9,0)</f>
        <v>102</v>
      </c>
      <c r="D15" s="94">
        <f>VLOOKUP(" 應收帳款及票據",PKB!$B$1:$L$500,8,0)</f>
        <v>96</v>
      </c>
      <c r="E15" s="94">
        <f>VLOOKUP(" 應收帳款及票據",PKB!$B$1:$L$500,7,0)</f>
        <v>119</v>
      </c>
      <c r="F15" s="94">
        <f>VLOOKUP(" 應收帳款及票據",PKB!$B$1:$L$500,6,0)</f>
        <v>189</v>
      </c>
      <c r="G15" s="94">
        <f>VLOOKUP(" 應收帳款及票據",PKB!$B$1:$L$500,5,0)</f>
        <v>252</v>
      </c>
      <c r="H15" s="94">
        <f>VLOOKUP(" 應收帳款及票據",PKB!$B$1:$L$500,4,0)</f>
        <v>185</v>
      </c>
      <c r="I15" s="94">
        <f>VLOOKUP(" 應收帳款及票據",PKB!$B$1:$L$500,3,0)</f>
        <v>176</v>
      </c>
      <c r="J15" s="94">
        <f>VLOOKUP(" 應收帳款及票據",PKB!$B$1:$L$500,2,0)</f>
        <v>273</v>
      </c>
      <c r="K15" s="94"/>
      <c r="L15" s="94"/>
    </row>
    <row r="16" spans="1:12">
      <c r="A16" s="94">
        <v>3105</v>
      </c>
      <c r="B16" s="94" t="s">
        <v>190</v>
      </c>
      <c r="C16" s="94">
        <f>VLOOKUP(" 應收帳款及票據",PKC!$B$1:$L$500,9,0)</f>
        <v>650</v>
      </c>
      <c r="D16" s="94">
        <f>VLOOKUP(" 應收帳款及票據",PKC!$B$1:$L$500,8,0)</f>
        <v>617</v>
      </c>
      <c r="E16" s="94">
        <f>VLOOKUP(" 應收帳款及票據",PKC!$B$1:$L$500,7,0)</f>
        <v>856</v>
      </c>
      <c r="F16" s="94">
        <f>VLOOKUP(" 應收帳款及票據",PKC!$B$1:$L$500,6,0)</f>
        <v>1017</v>
      </c>
      <c r="G16" s="94">
        <f>VLOOKUP(" 應收帳款及票據",PKC!$B$1:$L$500,5,0)</f>
        <v>690</v>
      </c>
      <c r="H16" s="94">
        <f>VLOOKUP(" 應收帳款及票據",PKC!$B$1:$L$500,4,0)</f>
        <v>936</v>
      </c>
      <c r="I16" s="94">
        <f>VLOOKUP(" 應收帳款及票據",PKC!$B$1:$L$500,3,0)</f>
        <v>994</v>
      </c>
      <c r="J16" s="94">
        <f>VLOOKUP(" 應收帳款及票據",PKC!$B$1:$L$500,2,0)</f>
        <v>946</v>
      </c>
      <c r="K16" s="94"/>
      <c r="L16" s="94"/>
    </row>
    <row r="17" spans="1:12">
      <c r="A17" s="90">
        <v>2455</v>
      </c>
      <c r="B17" s="90" t="s">
        <v>15</v>
      </c>
      <c r="C17" s="90">
        <f>VLOOKUP(" 存貨",PKA!$B$1:$L$500,9,0)</f>
        <v>285</v>
      </c>
      <c r="D17" s="90">
        <f>VLOOKUP(" 存貨",PKA!$B$1:$L$500,8,0)</f>
        <v>300</v>
      </c>
      <c r="E17" s="90">
        <f>VLOOKUP(" 存貨",PKA!$B$1:$L$500,7,0)</f>
        <v>322</v>
      </c>
      <c r="F17" s="90">
        <f>VLOOKUP(" 存貨",PKA!$B$1:$L$500,6,0)</f>
        <v>341</v>
      </c>
      <c r="G17" s="90">
        <f>VLOOKUP(" 存貨",PKA!$B$1:$L$500,5,0)</f>
        <v>356</v>
      </c>
      <c r="H17" s="90">
        <f>VLOOKUP(" 存貨",PKA!$B$1:$L$500,4,0)</f>
        <v>431</v>
      </c>
      <c r="I17" s="90">
        <f>VLOOKUP(" 存貨",PKA!$B$1:$L$500,3,0)</f>
        <v>409</v>
      </c>
      <c r="J17" s="90">
        <f>VLOOKUP(" 存貨",PKA!$B$1:$L$500,2,0)</f>
        <v>362</v>
      </c>
      <c r="K17" s="90"/>
      <c r="L17" s="90"/>
    </row>
    <row r="18" spans="1:12">
      <c r="A18" s="90">
        <v>8086</v>
      </c>
      <c r="B18" s="90" t="s">
        <v>15</v>
      </c>
      <c r="C18" s="90">
        <f>VLOOKUP(" 存貨",PKB!$B$1:$L$500,9,0)</f>
        <v>134</v>
      </c>
      <c r="D18" s="90">
        <f>VLOOKUP(" 存貨",PKB!$B$1:$L$500,8,0)</f>
        <v>170</v>
      </c>
      <c r="E18" s="90">
        <f>VLOOKUP(" 存貨",PKB!$B$1:$L$500,7,0)</f>
        <v>322</v>
      </c>
      <c r="F18" s="90">
        <f>VLOOKUP(" 存貨",PKB!$B$1:$L$500,6,0)</f>
        <v>427</v>
      </c>
      <c r="G18" s="90">
        <f>VLOOKUP(" 存貨",PKB!$B$1:$L$500,5,0)</f>
        <v>379</v>
      </c>
      <c r="H18" s="90">
        <f>VLOOKUP(" 存貨",PKB!$B$1:$L$500,4,0)</f>
        <v>366</v>
      </c>
      <c r="I18" s="90">
        <f>VLOOKUP(" 存貨",PKB!$B$1:$L$500,3,0)</f>
        <v>432</v>
      </c>
      <c r="J18" s="90">
        <f>VLOOKUP(" 存貨",PKB!$B$1:$L$500,2,0)</f>
        <v>357</v>
      </c>
      <c r="K18" s="90"/>
      <c r="L18" s="90"/>
    </row>
    <row r="19" spans="1:12">
      <c r="A19" s="90">
        <v>3105</v>
      </c>
      <c r="B19" s="90" t="s">
        <v>15</v>
      </c>
      <c r="C19" s="90">
        <f>VLOOKUP(" 存貨",PKC!$B$1:$L$500,9,0)</f>
        <v>1127</v>
      </c>
      <c r="D19" s="90">
        <f>VLOOKUP(" 存貨",PKC!$B$1:$L$500,8,0)</f>
        <v>1047</v>
      </c>
      <c r="E19" s="90">
        <f>VLOOKUP(" 存貨",PKC!$B$1:$L$500,7,0)</f>
        <v>1563</v>
      </c>
      <c r="F19" s="90">
        <f>VLOOKUP(" 存貨",PKC!$B$1:$L$500,6,0)</f>
        <v>1642</v>
      </c>
      <c r="G19" s="90">
        <f>VLOOKUP(" 存貨",PKC!$B$1:$L$500,5,0)</f>
        <v>1500</v>
      </c>
      <c r="H19" s="90">
        <f>VLOOKUP(" 存貨",PKC!$B$1:$L$500,4,0)</f>
        <v>1915</v>
      </c>
      <c r="I19" s="90">
        <f>VLOOKUP(" 存貨",PKC!$B$1:$L$500,3,0)</f>
        <v>2085</v>
      </c>
      <c r="J19" s="90">
        <f>VLOOKUP(" 存貨",PKC!$B$1:$L$500,2,0)</f>
        <v>2166</v>
      </c>
      <c r="K19" s="90"/>
      <c r="L19" s="90"/>
    </row>
    <row r="20" spans="1:12">
      <c r="A20" s="91">
        <v>2455</v>
      </c>
      <c r="B20" s="91" t="s">
        <v>17</v>
      </c>
      <c r="C20" s="91">
        <f>VLOOKUP("負債總額",PKA!$B$1:$L$500,9,0)</f>
        <v>374</v>
      </c>
      <c r="D20" s="91">
        <f>VLOOKUP("負債總額",PKA!$B$1:$L$500,8,0)</f>
        <v>366</v>
      </c>
      <c r="E20" s="91">
        <f>VLOOKUP("負債總額",PKA!$B$1:$L$500,7,0)</f>
        <v>888</v>
      </c>
      <c r="F20" s="91">
        <f>VLOOKUP("負債總額",PKA!$B$1:$L$500,6,0)</f>
        <v>413</v>
      </c>
      <c r="G20" s="91">
        <f>VLOOKUP("負債總額",PKA!$B$1:$L$500,5,0)</f>
        <v>441</v>
      </c>
      <c r="H20" s="91">
        <f>VLOOKUP("負債總額",PKA!$B$1:$L$500,4,0)</f>
        <v>478</v>
      </c>
      <c r="I20" s="91">
        <f>VLOOKUP("負債總額",PKA!$B$1:$L$500,3,0)</f>
        <v>951</v>
      </c>
      <c r="J20" s="91">
        <f>VLOOKUP("負債總額",PKA!$B$1:$L$500,2,0)</f>
        <v>436</v>
      </c>
      <c r="K20" s="91"/>
      <c r="L20" s="91"/>
    </row>
    <row r="21" spans="1:12">
      <c r="A21" s="91">
        <v>8086</v>
      </c>
      <c r="B21" s="91" t="s">
        <v>17</v>
      </c>
      <c r="C21" s="91">
        <f>VLOOKUP("負債總額",PKB!$B$1:$L$500,9,0)</f>
        <v>400</v>
      </c>
      <c r="D21" s="91">
        <f>VLOOKUP("負債總額",PKB!$B$1:$L$500,8,0)</f>
        <v>416</v>
      </c>
      <c r="E21" s="91">
        <f>VLOOKUP("負債總額",PKB!$B$1:$L$500,7,0)</f>
        <v>613</v>
      </c>
      <c r="F21" s="91">
        <f>VLOOKUP("負債總額",PKB!$B$1:$L$500,6,0)</f>
        <v>631</v>
      </c>
      <c r="G21" s="91">
        <f>VLOOKUP("負債總額",PKB!$B$1:$L$500,5,0)</f>
        <v>675</v>
      </c>
      <c r="H21" s="91">
        <f>VLOOKUP("負債總額",PKB!$B$1:$L$500,4,0)</f>
        <v>666</v>
      </c>
      <c r="I21" s="91">
        <f>VLOOKUP("負債總額",PKB!$B$1:$L$500,3,0)</f>
        <v>1058</v>
      </c>
      <c r="J21" s="91">
        <f>VLOOKUP("負債總額",PKB!$B$1:$L$500,2,0)</f>
        <v>765</v>
      </c>
      <c r="K21" s="91"/>
      <c r="L21" s="91"/>
    </row>
    <row r="22" spans="1:12">
      <c r="A22" s="91">
        <v>3105</v>
      </c>
      <c r="B22" s="91" t="s">
        <v>17</v>
      </c>
      <c r="C22" s="91">
        <f>VLOOKUP("負債總額",PKC!$B$1:$L$500,9,0)</f>
        <v>6220</v>
      </c>
      <c r="D22" s="91">
        <f>VLOOKUP("負債總額",PKC!$B$1:$L$500,8,0)</f>
        <v>6036</v>
      </c>
      <c r="E22" s="91">
        <f>VLOOKUP("負債總額",PKC!$B$1:$L$500,7,0)</f>
        <v>7705</v>
      </c>
      <c r="F22" s="91">
        <f>VLOOKUP("負債總額",PKC!$B$1:$L$500,6,0)</f>
        <v>6353</v>
      </c>
      <c r="G22" s="91">
        <f>VLOOKUP("負債總額",PKC!$B$1:$L$500,5,0)</f>
        <v>5876</v>
      </c>
      <c r="H22" s="91">
        <f>VLOOKUP("負債總額",PKC!$B$1:$L$500,4,0)</f>
        <v>6026</v>
      </c>
      <c r="I22" s="91">
        <f>VLOOKUP("負債總額",PKC!$B$1:$L$500,3,0)</f>
        <v>6461</v>
      </c>
      <c r="J22" s="91">
        <f>VLOOKUP("負債總額",PKC!$B$1:$L$500,2,0)</f>
        <v>5951</v>
      </c>
      <c r="K22" s="91"/>
      <c r="L22" s="91"/>
    </row>
    <row r="23" spans="1:12">
      <c r="A23" s="92">
        <v>2455</v>
      </c>
      <c r="B23" s="92" t="s">
        <v>18</v>
      </c>
      <c r="C23" s="92">
        <f>VLOOKUP("資產總額",PKA!$B$1:$L$500,9,0)</f>
        <v>3899</v>
      </c>
      <c r="D23" s="92">
        <f>VLOOKUP("資產總額",PKA!$B$1:$L$500,8,0)</f>
        <v>3970</v>
      </c>
      <c r="E23" s="92">
        <f>VLOOKUP("資產總額",PKA!$B$1:$L$500,7,0)</f>
        <v>4080</v>
      </c>
      <c r="F23" s="92">
        <f>VLOOKUP("資產總額",PKA!$B$1:$L$500,6,0)</f>
        <v>3757</v>
      </c>
      <c r="G23" s="92">
        <f>VLOOKUP("資產總額",PKA!$B$1:$L$500,5,0)</f>
        <v>3947</v>
      </c>
      <c r="H23" s="92">
        <f>VLOOKUP("資產總額",PKA!$B$1:$L$500,4,0)</f>
        <v>4119</v>
      </c>
      <c r="I23" s="92">
        <f>VLOOKUP("資產總額",PKA!$B$1:$L$500,3,0)</f>
        <v>4270</v>
      </c>
      <c r="J23" s="92">
        <f>VLOOKUP("資產總額",PKA!$B$1:$L$500,2,0)</f>
        <v>3895</v>
      </c>
      <c r="K23" s="92"/>
      <c r="L23" s="92"/>
    </row>
    <row r="24" spans="1:12">
      <c r="A24" s="92">
        <v>8086</v>
      </c>
      <c r="B24" s="92" t="s">
        <v>18</v>
      </c>
      <c r="C24" s="92">
        <f>VLOOKUP("資產總額",PKB!$B$1:$L$500,9,0)</f>
        <v>2195</v>
      </c>
      <c r="D24" s="92">
        <f>VLOOKUP("資產總額",PKB!$B$1:$L$500,8,0)</f>
        <v>2196</v>
      </c>
      <c r="E24" s="92">
        <f>VLOOKUP("資產總額",PKB!$B$1:$L$500,7,0)</f>
        <v>2438</v>
      </c>
      <c r="F24" s="92">
        <f>VLOOKUP("資產總額",PKB!$B$1:$L$500,6,0)</f>
        <v>2584</v>
      </c>
      <c r="G24" s="92">
        <f>VLOOKUP("資產總額",PKB!$B$1:$L$500,5,0)</f>
        <v>2897</v>
      </c>
      <c r="H24" s="92">
        <f>VLOOKUP("資產總額",PKB!$B$1:$L$500,4,0)</f>
        <v>3131</v>
      </c>
      <c r="I24" s="92">
        <f>VLOOKUP("資產總額",PKB!$B$1:$L$500,3,0)</f>
        <v>3642</v>
      </c>
      <c r="J24" s="92">
        <f>VLOOKUP("資產總額",PKB!$B$1:$L$500,2,0)</f>
        <v>3679</v>
      </c>
      <c r="K24" s="92"/>
      <c r="L24" s="92"/>
    </row>
    <row r="25" spans="1:12">
      <c r="A25" s="92">
        <v>3105</v>
      </c>
      <c r="B25" s="92" t="s">
        <v>18</v>
      </c>
      <c r="C25" s="92">
        <f>VLOOKUP("資產總額",PKC!$B$1:$L$500,9,0)</f>
        <v>21112</v>
      </c>
      <c r="D25" s="92">
        <f>VLOOKUP("資產總額",PKC!$B$1:$L$500,8,0)</f>
        <v>21281</v>
      </c>
      <c r="E25" s="92">
        <f>VLOOKUP("資產總額",PKC!$B$1:$L$500,7,0)</f>
        <v>22287</v>
      </c>
      <c r="F25" s="92">
        <f>VLOOKUP("資產總額",PKC!$B$1:$L$500,6,0)</f>
        <v>21650</v>
      </c>
      <c r="G25" s="92">
        <f>VLOOKUP("資產總額",PKC!$B$1:$L$500,5,0)</f>
        <v>21816</v>
      </c>
      <c r="H25" s="92">
        <f>VLOOKUP("資產總額",PKC!$B$1:$L$500,4,0)</f>
        <v>22689</v>
      </c>
      <c r="I25" s="92">
        <f>VLOOKUP("資產總額",PKC!$B$1:$L$500,3,0)</f>
        <v>23424</v>
      </c>
      <c r="J25" s="92">
        <f>VLOOKUP("資產總額",PKC!$B$1:$L$500,2,0)</f>
        <v>22269</v>
      </c>
      <c r="K25" s="92"/>
      <c r="L25" s="92"/>
    </row>
    <row r="26" spans="1:12">
      <c r="A26" s="93">
        <v>2455</v>
      </c>
      <c r="B26" s="93" t="s">
        <v>210</v>
      </c>
      <c r="C26" s="93">
        <f>VLOOKUP("來自營運之現金流量",PKA!$B$1:$L$500,9,0)</f>
        <v>229</v>
      </c>
      <c r="D26" s="93">
        <f>VLOOKUP("來自營運之現金流量",PKA!$B$1:$L$500,8,0)</f>
        <v>94</v>
      </c>
      <c r="E26" s="93">
        <f>VLOOKUP("來自營運之現金流量",PKA!$B$1:$L$500,7,0)</f>
        <v>105</v>
      </c>
      <c r="F26" s="93">
        <f>VLOOKUP("來自營運之現金流量",PKA!$B$1:$L$500,6,0)</f>
        <v>153</v>
      </c>
      <c r="G26" s="93">
        <f>VLOOKUP("來自營運之現金流量",PKA!$B$1:$L$500,5,0)</f>
        <v>243</v>
      </c>
      <c r="H26" s="93">
        <f>VLOOKUP("來自營運之現金流量",PKA!$B$1:$L$500,4,0)</f>
        <v>139</v>
      </c>
      <c r="I26" s="93">
        <f>VLOOKUP("來自營運之現金流量",PKA!$B$1:$L$500,3,0)</f>
        <v>151</v>
      </c>
      <c r="J26" s="93">
        <f>VLOOKUP("來自營運之現金流量",PKA!$B$1:$L$500,2,0)</f>
        <v>314</v>
      </c>
      <c r="K26" s="93">
        <f>IF(ISNA(C28),MIN(C26:J27),MIN(C26:J28))</f>
        <v>32</v>
      </c>
      <c r="L26" s="93">
        <f>IF(ISNA(C28),MAX(C26:J27),MAX(C26:J28))</f>
        <v>1704</v>
      </c>
    </row>
    <row r="27" spans="1:12">
      <c r="A27" s="93">
        <v>8086</v>
      </c>
      <c r="B27" s="93" t="s">
        <v>211</v>
      </c>
      <c r="C27" s="93">
        <f>VLOOKUP("來自營運之現金流量",PKB!$B$1:$L$500,9,0)</f>
        <v>102</v>
      </c>
      <c r="D27" s="93">
        <f>VLOOKUP("來自營運之現金流量",PKB!$B$1:$L$500,8,0)</f>
        <v>32</v>
      </c>
      <c r="E27" s="93">
        <f>VLOOKUP("來自營運之現金流量",PKB!$B$1:$L$500,7,0)</f>
        <v>65</v>
      </c>
      <c r="F27" s="93">
        <f>VLOOKUP("來自營運之現金流量",PKB!$B$1:$L$500,6,0)</f>
        <v>98</v>
      </c>
      <c r="G27" s="93">
        <f>VLOOKUP("來自營運之現金流量",PKB!$B$1:$L$500,5,0)</f>
        <v>356</v>
      </c>
      <c r="H27" s="93">
        <f>VLOOKUP("來自營運之現金流量",PKB!$B$1:$L$500,4,0)</f>
        <v>325</v>
      </c>
      <c r="I27" s="93">
        <f>VLOOKUP("來自營運之現金流量",PKB!$B$1:$L$500,3,0)</f>
        <v>402</v>
      </c>
      <c r="J27" s="93">
        <f>VLOOKUP("來自營運之現金流量",PKB!$B$1:$L$500,2,0)</f>
        <v>299</v>
      </c>
      <c r="K27" s="93"/>
      <c r="L27" s="93"/>
    </row>
    <row r="28" spans="1:12">
      <c r="A28" s="93">
        <v>3105</v>
      </c>
      <c r="B28" s="93" t="s">
        <v>211</v>
      </c>
      <c r="C28" s="93">
        <f>VLOOKUP("來自營運之現金流量",PKC!$B$1:$L$500,9,0)</f>
        <v>1110</v>
      </c>
      <c r="D28" s="93">
        <f>VLOOKUP("來自營運之現金流量",PKC!$B$1:$L$500,8,0)</f>
        <v>528</v>
      </c>
      <c r="E28" s="93">
        <f>VLOOKUP("來自營運之現金流量",PKC!$B$1:$L$500,7,0)</f>
        <v>557</v>
      </c>
      <c r="F28" s="93">
        <f>VLOOKUP("來自營運之現金流量",PKC!$B$1:$L$500,6,0)</f>
        <v>1041</v>
      </c>
      <c r="G28" s="93">
        <f>VLOOKUP("來自營運之現金流量",PKC!$B$1:$L$500,5,0)</f>
        <v>1704</v>
      </c>
      <c r="H28" s="93">
        <f>VLOOKUP("來自營運之現金流量",PKC!$B$1:$L$500,4,0)</f>
        <v>751</v>
      </c>
      <c r="I28" s="93">
        <f>VLOOKUP("來自營運之現金流量",PKC!$B$1:$L$500,3,0)</f>
        <v>1107</v>
      </c>
      <c r="J28" s="93">
        <f>VLOOKUP("來自營運之現金流量",PKC!$B$1:$L$500,2,0)</f>
        <v>1025</v>
      </c>
      <c r="K28" s="93"/>
      <c r="L28" s="93"/>
    </row>
    <row r="29" spans="1:12">
      <c r="A29" s="94">
        <v>2455</v>
      </c>
      <c r="B29" s="94" t="s">
        <v>131</v>
      </c>
      <c r="C29" s="94">
        <f>VLOOKUP("投資活動之現金流量",PKA!$B$1:$L$500,9,0)</f>
        <v>-70</v>
      </c>
      <c r="D29" s="94">
        <f>VLOOKUP("投資活動之現金流量",PKA!$B$1:$L$500,8,0)</f>
        <v>-70</v>
      </c>
      <c r="E29" s="94">
        <f>VLOOKUP("投資活動之現金流量",PKA!$B$1:$L$500,7,0)</f>
        <v>-4</v>
      </c>
      <c r="F29" s="94">
        <f>VLOOKUP("投資活動之現金流量",PKA!$B$1:$L$500,6,0)</f>
        <v>-7</v>
      </c>
      <c r="G29" s="94">
        <f>VLOOKUP("投資活動之現金流量",PKA!$B$1:$L$500,5,0)</f>
        <v>-6</v>
      </c>
      <c r="H29" s="94">
        <f>VLOOKUP("投資活動之現金流量",PKA!$B$1:$L$500,4,0)</f>
        <v>-3</v>
      </c>
      <c r="I29" s="94">
        <f>VLOOKUP("投資活動之現金流量",PKA!$B$1:$L$500,3,0)</f>
        <v>-4</v>
      </c>
      <c r="J29" s="94">
        <f>VLOOKUP("投資活動之現金流量",PKA!$B$1:$L$500,2,0)</f>
        <v>-13</v>
      </c>
      <c r="K29" s="94"/>
      <c r="L29" s="94"/>
    </row>
    <row r="30" spans="1:12">
      <c r="A30" s="94">
        <v>8086</v>
      </c>
      <c r="B30" s="94" t="s">
        <v>131</v>
      </c>
      <c r="C30" s="94">
        <f>VLOOKUP("投資活動之現金流量",PKB!$B$1:$L$500,9,0)</f>
        <v>-9</v>
      </c>
      <c r="D30" s="94">
        <f>VLOOKUP("投資活動之現金流量",PKB!$B$1:$L$500,8,0)</f>
        <v>0</v>
      </c>
      <c r="E30" s="94">
        <f>VLOOKUP("投資活動之現金流量",PKB!$B$1:$L$500,7,0)</f>
        <v>-67</v>
      </c>
      <c r="F30" s="94">
        <f>VLOOKUP("投資活動之現金流量",PKB!$B$1:$L$500,6,0)</f>
        <v>-89</v>
      </c>
      <c r="G30" s="94">
        <f>VLOOKUP("投資活動之現金流量",PKB!$B$1:$L$500,5,0)</f>
        <v>-171</v>
      </c>
      <c r="H30" s="94">
        <f>VLOOKUP("投資活動之現金流量",PKB!$B$1:$L$500,4,0)</f>
        <v>-158</v>
      </c>
      <c r="I30" s="94">
        <f>VLOOKUP("投資活動之現金流量",PKB!$B$1:$L$500,3,0)</f>
        <v>-84</v>
      </c>
      <c r="J30" s="94">
        <f>VLOOKUP("投資活動之現金流量",PKB!$B$1:$L$500,2,0)</f>
        <v>-114</v>
      </c>
      <c r="K30" s="94"/>
      <c r="L30" s="94"/>
    </row>
    <row r="31" spans="1:12">
      <c r="A31" s="94">
        <v>3105</v>
      </c>
      <c r="B31" s="94" t="s">
        <v>131</v>
      </c>
      <c r="C31" s="94">
        <f>VLOOKUP("投資活動之現金流量",PKC!$B$1:$L$500,9,0)</f>
        <v>-933</v>
      </c>
      <c r="D31" s="94">
        <f>VLOOKUP("投資活動之現金流量",PKC!$B$1:$L$500,8,0)</f>
        <v>-815</v>
      </c>
      <c r="E31" s="94">
        <f>VLOOKUP("投資活動之現金流量",PKC!$B$1:$L$500,7,0)</f>
        <v>-411</v>
      </c>
      <c r="F31" s="94">
        <f>VLOOKUP("投資活動之現金流量",PKC!$B$1:$L$500,6,0)</f>
        <v>439</v>
      </c>
      <c r="G31" s="94">
        <f>VLOOKUP("投資活動之現金流量",PKC!$B$1:$L$500,5,0)</f>
        <v>-486</v>
      </c>
      <c r="H31" s="94">
        <f>VLOOKUP("投資活動之現金流量",PKC!$B$1:$L$500,4,0)</f>
        <v>-274</v>
      </c>
      <c r="I31" s="94">
        <f>VLOOKUP("投資活動之現金流量",PKC!$B$1:$L$500,3,0)</f>
        <v>-857</v>
      </c>
      <c r="J31" s="94">
        <f>VLOOKUP("投資活動之現金流量",PKC!$B$1:$L$500,2,0)</f>
        <v>-621</v>
      </c>
      <c r="K31" s="94"/>
      <c r="L31" s="94"/>
    </row>
    <row r="32" spans="1:12">
      <c r="A32" s="90">
        <v>2455</v>
      </c>
      <c r="B32" s="90" t="s">
        <v>20</v>
      </c>
      <c r="C32" s="90">
        <f>VLOOKUP(" 固定資產(購置)",PKA!$B$1:$L$500,9,0)</f>
        <v>-46</v>
      </c>
      <c r="D32" s="90">
        <f>VLOOKUP(" 固定資產(購置)",PKA!$B$1:$L$500,8,0)</f>
        <v>-11</v>
      </c>
      <c r="E32" s="90">
        <f>VLOOKUP(" 固定資產(購置)",PKA!$B$1:$L$500,7,0)</f>
        <v>1</v>
      </c>
      <c r="F32" s="90">
        <f>VLOOKUP(" 固定資產(購置)",PKA!$B$1:$L$500,6,0)</f>
        <v>-3</v>
      </c>
      <c r="G32" s="90">
        <f>VLOOKUP(" 固定資產(購置)",PKA!$B$1:$L$500,5,0)</f>
        <v>-73</v>
      </c>
      <c r="H32" s="90">
        <f>VLOOKUP(" 固定資產(購置)",PKA!$B$1:$L$500,4,0)</f>
        <v>0</v>
      </c>
      <c r="I32" s="90">
        <f>VLOOKUP(" 固定資產(購置)",PKA!$B$1:$L$500,3,0)</f>
        <v>-1</v>
      </c>
      <c r="J32" s="90">
        <f>VLOOKUP(" 固定資產(購置)",PKA!$B$1:$L$500,2,0)</f>
        <v>-18</v>
      </c>
      <c r="K32" s="90"/>
      <c r="L32" s="90"/>
    </row>
    <row r="33" spans="1:12">
      <c r="A33" s="90">
        <v>8086</v>
      </c>
      <c r="B33" s="90" t="s">
        <v>20</v>
      </c>
      <c r="C33" s="90">
        <f>VLOOKUP(" 固定資產(購置)",PKB!$B$1:$L$500,9,0)</f>
        <v>-10</v>
      </c>
      <c r="D33" s="90">
        <f>VLOOKUP(" 固定資產(購置)",PKB!$B$1:$L$500,8,0)</f>
        <v>-3</v>
      </c>
      <c r="E33" s="90">
        <f>VLOOKUP(" 固定資產(購置)",PKB!$B$1:$L$500,7,0)</f>
        <v>-68</v>
      </c>
      <c r="F33" s="90">
        <f>VLOOKUP(" 固定資產(購置)",PKB!$B$1:$L$500,6,0)</f>
        <v>-81</v>
      </c>
      <c r="G33" s="90">
        <f>VLOOKUP(" 固定資產(購置)",PKB!$B$1:$L$500,5,0)</f>
        <v>-167</v>
      </c>
      <c r="H33" s="90">
        <f>VLOOKUP(" 固定資產(購置)",PKB!$B$1:$L$500,4,0)</f>
        <v>-157</v>
      </c>
      <c r="I33" s="90">
        <f>VLOOKUP(" 固定資產(購置)",PKB!$B$1:$L$500,3,0)</f>
        <v>-78</v>
      </c>
      <c r="J33" s="90">
        <f>VLOOKUP(" 固定資產(購置)",PKB!$B$1:$L$500,2,0)</f>
        <v>-115</v>
      </c>
      <c r="K33" s="90"/>
      <c r="L33" s="90"/>
    </row>
    <row r="34" spans="1:12">
      <c r="A34" s="90">
        <v>3105</v>
      </c>
      <c r="B34" s="90" t="s">
        <v>20</v>
      </c>
      <c r="C34" s="90">
        <f>VLOOKUP(" 固定資產(購置)",PKC!$B$1:$L$500,9,0)</f>
        <v>-463</v>
      </c>
      <c r="D34" s="90">
        <f>VLOOKUP(" 固定資產(購置)",PKC!$B$1:$L$500,8,0)</f>
        <v>-232</v>
      </c>
      <c r="E34" s="90">
        <f>VLOOKUP(" 固定資產(購置)",PKC!$B$1:$L$500,7,0)</f>
        <v>-131</v>
      </c>
      <c r="F34" s="90">
        <f>VLOOKUP(" 固定資產(購置)",PKC!$B$1:$L$500,6,0)</f>
        <v>-92</v>
      </c>
      <c r="G34" s="90">
        <f>VLOOKUP(" 固定資產(購置)",PKC!$B$1:$L$500,5,0)</f>
        <v>-282</v>
      </c>
      <c r="H34" s="90">
        <f>VLOOKUP(" 固定資產(購置)",PKC!$B$1:$L$500,4,0)</f>
        <v>-499</v>
      </c>
      <c r="I34" s="90">
        <f>VLOOKUP(" 固定資產(購置)",PKC!$B$1:$L$500,3,0)</f>
        <v>-380</v>
      </c>
      <c r="J34" s="90">
        <f>VLOOKUP(" 固定資產(購置)",PKC!$B$1:$L$500,2,0)</f>
        <v>-907</v>
      </c>
      <c r="K34" s="90"/>
      <c r="L34" s="90"/>
    </row>
    <row r="35" spans="1:12">
      <c r="A35" s="91">
        <v>2455</v>
      </c>
      <c r="B35" s="91" t="s">
        <v>21</v>
      </c>
      <c r="C35" s="91">
        <f>VLOOKUP(" 長期投資(新增)",PKA!$B$1:$L$500,9,0)</f>
        <v>-59</v>
      </c>
      <c r="D35" s="91">
        <f>VLOOKUP(" 長期投資(新增)",PKA!$B$1:$L$500,8,0)</f>
        <v>0</v>
      </c>
      <c r="E35" s="91">
        <f>VLOOKUP(" 長期投資(新增)",PKA!$B$1:$L$500,7,0)</f>
        <v>0</v>
      </c>
      <c r="F35" s="91">
        <f>VLOOKUP(" 長期投資(新增)",PKA!$B$1:$L$500,6,0)</f>
        <v>0</v>
      </c>
      <c r="G35" s="91">
        <f>VLOOKUP(" 長期投資(新增)",PKA!$B$1:$L$500,5,0)</f>
        <v>0</v>
      </c>
      <c r="H35" s="91">
        <f>VLOOKUP(" 長期投資(新增)",PKA!$B$1:$L$500,4,0)</f>
        <v>0</v>
      </c>
      <c r="I35" s="91">
        <f>VLOOKUP(" 長期投資(新增)",PKA!$B$1:$L$500,3,0)</f>
        <v>0</v>
      </c>
      <c r="J35" s="91">
        <f>VLOOKUP(" 長期投資(新增)",PKA!$B$1:$L$500,2,0)</f>
        <v>0</v>
      </c>
      <c r="K35" s="91"/>
      <c r="L35" s="91"/>
    </row>
    <row r="36" spans="1:12">
      <c r="A36" s="91">
        <v>8086</v>
      </c>
      <c r="B36" s="91" t="s">
        <v>21</v>
      </c>
      <c r="C36" s="91">
        <f>VLOOKUP(" 長期投資(新增)",PKB!$B$1:$L$500,9,0)</f>
        <v>0</v>
      </c>
      <c r="D36" s="91">
        <f>VLOOKUP(" 長期投資(新增)",PKB!$B$1:$L$500,8,0)</f>
        <v>0</v>
      </c>
      <c r="E36" s="91">
        <f>VLOOKUP(" 長期投資(新增)",PKB!$B$1:$L$500,7,0)</f>
        <v>0</v>
      </c>
      <c r="F36" s="91">
        <f>VLOOKUP(" 長期投資(新增)",PKB!$B$1:$L$500,6,0)</f>
        <v>0</v>
      </c>
      <c r="G36" s="91">
        <f>VLOOKUP(" 長期投資(新增)",PKB!$B$1:$L$500,5,0)</f>
        <v>0</v>
      </c>
      <c r="H36" s="91">
        <f>VLOOKUP(" 長期投資(新增)",PKB!$B$1:$L$500,4,0)</f>
        <v>0</v>
      </c>
      <c r="I36" s="91">
        <f>VLOOKUP(" 長期投資(新增)",PKB!$B$1:$L$500,3,0)</f>
        <v>0</v>
      </c>
      <c r="J36" s="91">
        <f>VLOOKUP(" 長期投資(新增)",PKB!$B$1:$L$500,2,0)</f>
        <v>0</v>
      </c>
      <c r="K36" s="91"/>
      <c r="L36" s="91"/>
    </row>
    <row r="37" spans="1:12">
      <c r="A37" s="91">
        <v>3105</v>
      </c>
      <c r="B37" s="91" t="s">
        <v>21</v>
      </c>
      <c r="C37" s="91">
        <f>VLOOKUP(" 長期投資(新增)",PKC!$B$1:$L$500,9,0)</f>
        <v>-208</v>
      </c>
      <c r="D37" s="91">
        <f>VLOOKUP(" 長期投資(新增)",PKC!$B$1:$L$500,8,0)</f>
        <v>0</v>
      </c>
      <c r="E37" s="91">
        <f>VLOOKUP(" 長期投資(新增)",PKC!$B$1:$L$500,7,0)</f>
        <v>-12</v>
      </c>
      <c r="F37" s="91">
        <f>VLOOKUP(" 長期投資(新增)",PKC!$B$1:$L$500,6,0)</f>
        <v>12</v>
      </c>
      <c r="G37" s="91">
        <f>VLOOKUP(" 長期投資(新增)",PKC!$B$1:$L$500,5,0)</f>
        <v>0</v>
      </c>
      <c r="H37" s="91">
        <f>VLOOKUP(" 長期投資(新增)",PKC!$B$1:$L$500,4,0)</f>
        <v>-220</v>
      </c>
      <c r="I37" s="91">
        <f>VLOOKUP(" 長期投資(新增)",PKC!$B$1:$L$500,3,0)</f>
        <v>0</v>
      </c>
      <c r="J37" s="91">
        <f>VLOOKUP(" 長期投資(新增)",PKC!$B$1:$L$500,2,0)</f>
        <v>0</v>
      </c>
      <c r="K37" s="91"/>
      <c r="L37" s="91"/>
    </row>
    <row r="38" spans="1:12">
      <c r="A38" s="92">
        <v>2455</v>
      </c>
      <c r="B38" s="92" t="s">
        <v>114</v>
      </c>
      <c r="C38" s="92">
        <f>VLOOKUP(" 折舊",PKA!$B$1:$L$500,9,0)</f>
        <v>54</v>
      </c>
      <c r="D38" s="92">
        <f>VLOOKUP(" 折舊",PKA!$B$1:$L$500,8,0)</f>
        <v>54</v>
      </c>
      <c r="E38" s="92">
        <f>VLOOKUP(" 折舊",PKA!$B$1:$L$500,7,0)</f>
        <v>54</v>
      </c>
      <c r="F38" s="92">
        <f>VLOOKUP(" 折舊",PKA!$B$1:$L$500,6,0)</f>
        <v>53</v>
      </c>
      <c r="G38" s="92">
        <f>VLOOKUP(" 折舊",PKA!$B$1:$L$500,5,0)</f>
        <v>54</v>
      </c>
      <c r="H38" s="92">
        <f>VLOOKUP(" 折舊",PKA!$B$1:$L$500,4,0)</f>
        <v>52</v>
      </c>
      <c r="I38" s="92">
        <f>VLOOKUP(" 折舊",PKA!$B$1:$L$500,3,0)</f>
        <v>52</v>
      </c>
      <c r="J38" s="92">
        <f>VLOOKUP(" 折舊",PKA!$B$1:$L$500,2,0)</f>
        <v>52</v>
      </c>
      <c r="K38" s="92"/>
      <c r="L38" s="92"/>
    </row>
    <row r="39" spans="1:12">
      <c r="A39" s="92">
        <v>8086</v>
      </c>
      <c r="B39" s="92" t="s">
        <v>114</v>
      </c>
      <c r="C39" s="92">
        <f>VLOOKUP(" 折舊",PKB!$B$1:$L$500,9,0)</f>
        <v>57</v>
      </c>
      <c r="D39" s="92">
        <f>VLOOKUP(" 折舊",PKB!$B$1:$L$500,8,0)</f>
        <v>56</v>
      </c>
      <c r="E39" s="92">
        <f>VLOOKUP(" 折舊",PKB!$B$1:$L$500,7,0)</f>
        <v>56</v>
      </c>
      <c r="F39" s="92">
        <f>VLOOKUP(" 折舊",PKB!$B$1:$L$500,6,0)</f>
        <v>57</v>
      </c>
      <c r="G39" s="92">
        <f>VLOOKUP(" 折舊",PKB!$B$1:$L$500,5,0)</f>
        <v>55</v>
      </c>
      <c r="H39" s="92">
        <f>VLOOKUP(" 折舊",PKB!$B$1:$L$500,4,0)</f>
        <v>58</v>
      </c>
      <c r="I39" s="92">
        <f>VLOOKUP(" 折舊",PKB!$B$1:$L$500,3,0)</f>
        <v>59</v>
      </c>
      <c r="J39" s="92">
        <f>VLOOKUP(" 折舊",PKB!$B$1:$L$500,2,0)</f>
        <v>61</v>
      </c>
      <c r="K39" s="92"/>
      <c r="L39" s="92"/>
    </row>
    <row r="40" spans="1:12">
      <c r="A40" s="92">
        <v>3105</v>
      </c>
      <c r="B40" s="92" t="s">
        <v>114</v>
      </c>
      <c r="C40" s="92">
        <f>VLOOKUP(" 折舊",PKC!$B$1:$L$500,9,0)</f>
        <v>446</v>
      </c>
      <c r="D40" s="92">
        <f>VLOOKUP(" 折舊",PKC!$B$1:$L$500,8,0)</f>
        <v>459</v>
      </c>
      <c r="E40" s="92">
        <f>VLOOKUP(" 折舊",PKC!$B$1:$L$500,7,0)</f>
        <v>462</v>
      </c>
      <c r="F40" s="92">
        <f>VLOOKUP(" 折舊",PKC!$B$1:$L$500,6,0)</f>
        <v>465</v>
      </c>
      <c r="G40" s="92">
        <f>VLOOKUP(" 折舊",PKC!$B$1:$L$500,5,0)</f>
        <v>466</v>
      </c>
      <c r="H40" s="92">
        <f>VLOOKUP(" 折舊",PKC!$B$1:$L$500,4,0)</f>
        <v>468</v>
      </c>
      <c r="I40" s="92">
        <f>VLOOKUP(" 折舊",PKC!$B$1:$L$500,3,0)</f>
        <v>470</v>
      </c>
      <c r="J40" s="92">
        <f>VLOOKUP(" 折舊",PKC!$B$1:$L$500,2,0)</f>
        <v>475</v>
      </c>
      <c r="K40" s="92"/>
      <c r="L40" s="92"/>
    </row>
    <row r="41" spans="1:12">
      <c r="A41" s="93">
        <v>2455</v>
      </c>
      <c r="B41" s="93" t="s">
        <v>212</v>
      </c>
      <c r="C41" s="93">
        <f>VLOOKUP("營業費用",PKA!$B$1:$L$500,9,0)</f>
        <v>51</v>
      </c>
      <c r="D41" s="93">
        <f>VLOOKUP("營業費用",PKA!$B$1:$L$500,8,0)</f>
        <v>44</v>
      </c>
      <c r="E41" s="93">
        <f>VLOOKUP("營業費用",PKA!$B$1:$L$500,7,0)</f>
        <v>48</v>
      </c>
      <c r="F41" s="93">
        <f>VLOOKUP("營業費用",PKA!$B$1:$L$500,6,0)</f>
        <v>48</v>
      </c>
      <c r="G41" s="93">
        <f>VLOOKUP("營業費用",PKA!$B$1:$L$500,5,0)</f>
        <v>57</v>
      </c>
      <c r="H41" s="93">
        <f>VLOOKUP("營業費用",PKA!$B$1:$L$500,4,0)</f>
        <v>51</v>
      </c>
      <c r="I41" s="93">
        <f>VLOOKUP("營業費用",PKA!$B$1:$L$500,3,0)</f>
        <v>54</v>
      </c>
      <c r="J41" s="93">
        <f>VLOOKUP("營業費用",PKA!$B$1:$L$500,2,0)</f>
        <v>55</v>
      </c>
      <c r="K41" s="93"/>
      <c r="L41" s="93"/>
    </row>
    <row r="42" spans="1:12">
      <c r="A42" s="93">
        <v>8086</v>
      </c>
      <c r="B42" s="93" t="s">
        <v>212</v>
      </c>
      <c r="C42" s="93">
        <f>VLOOKUP("營業費用",PKB!$B$1:$L$500,9,0)</f>
        <v>39</v>
      </c>
      <c r="D42" s="93">
        <f>VLOOKUP("營業費用",PKB!$B$1:$L$500,8,0)</f>
        <v>37</v>
      </c>
      <c r="E42" s="93">
        <f>VLOOKUP("營業費用",PKB!$B$1:$L$500,7,0)</f>
        <v>43</v>
      </c>
      <c r="F42" s="93">
        <f>VLOOKUP("營業費用",PKB!$B$1:$L$500,6,0)</f>
        <v>47</v>
      </c>
      <c r="G42" s="93">
        <f>VLOOKUP("營業費用",PKB!$B$1:$L$500,5,0)</f>
        <v>54</v>
      </c>
      <c r="H42" s="93">
        <f>VLOOKUP("營業費用",PKB!$B$1:$L$500,4,0)</f>
        <v>61</v>
      </c>
      <c r="I42" s="93">
        <f>VLOOKUP("營業費用",PKB!$B$1:$L$500,3,0)</f>
        <v>59</v>
      </c>
      <c r="J42" s="93">
        <f>VLOOKUP("營業費用",PKB!$B$1:$L$500,2,0)</f>
        <v>64</v>
      </c>
      <c r="K42" s="93"/>
      <c r="L42" s="93"/>
    </row>
    <row r="43" spans="1:12">
      <c r="A43" s="93">
        <v>3105</v>
      </c>
      <c r="B43" s="93" t="s">
        <v>212</v>
      </c>
      <c r="C43" s="93">
        <f>VLOOKUP("營業費用",PKC!$B$1:$L$500,9,0)</f>
        <v>268</v>
      </c>
      <c r="D43" s="93">
        <f>VLOOKUP("營業費用",PKC!$B$1:$L$500,8,0)</f>
        <v>297</v>
      </c>
      <c r="E43" s="93">
        <f>VLOOKUP("營業費用",PKC!$B$1:$L$500,7,0)</f>
        <v>293</v>
      </c>
      <c r="F43" s="93">
        <f>VLOOKUP("營業費用",PKC!$B$1:$L$500,6,0)</f>
        <v>271</v>
      </c>
      <c r="G43" s="93">
        <f>VLOOKUP("營業費用",PKC!$B$1:$L$500,5,0)</f>
        <v>334</v>
      </c>
      <c r="H43" s="93">
        <f>VLOOKUP("營業費用",PKC!$B$1:$L$500,4,0)</f>
        <v>288</v>
      </c>
      <c r="I43" s="93">
        <f>VLOOKUP("營業費用",PKC!$B$1:$L$500,3,0)</f>
        <v>300</v>
      </c>
      <c r="J43" s="93">
        <f>VLOOKUP("營業費用",PKC!$B$1:$L$500,2,0)</f>
        <v>350</v>
      </c>
      <c r="K43" s="93"/>
      <c r="L43" s="93"/>
    </row>
    <row r="44" spans="1:12">
      <c r="A44" s="95">
        <v>2455</v>
      </c>
      <c r="B44" s="95" t="s">
        <v>544</v>
      </c>
      <c r="C44" s="95">
        <f>VLOOKUP(" 普通股股本",PKA!$B$1:$L$500,9,0)</f>
        <v>2465</v>
      </c>
      <c r="D44" s="95">
        <f>VLOOKUP(" 普通股股本",PKA!$B$1:$L$500,8,0)</f>
        <v>2465</v>
      </c>
      <c r="E44" s="95">
        <f>VLOOKUP(" 普通股股本",PKA!$B$1:$L$500,7,0)</f>
        <v>2465</v>
      </c>
      <c r="F44" s="95">
        <f>VLOOKUP(" 普通股股本",PKA!$B$1:$L$500,6,0)</f>
        <v>2465</v>
      </c>
      <c r="G44" s="95">
        <f>VLOOKUP(" 普通股股本",PKA!$B$1:$L$500,5,0)</f>
        <v>2465</v>
      </c>
      <c r="H44" s="95">
        <f>VLOOKUP(" 普通股股本",PKA!$B$1:$L$500,4,0)</f>
        <v>2465</v>
      </c>
      <c r="I44" s="95">
        <f>VLOOKUP(" 普通股股本",PKA!$B$1:$L$500,3,0)</f>
        <v>2465</v>
      </c>
      <c r="J44" s="95">
        <f>VLOOKUP(" 普通股股本",PKA!$B$1:$L$500,2,0)</f>
        <v>2465</v>
      </c>
      <c r="K44" s="95"/>
      <c r="L44" s="95"/>
    </row>
    <row r="45" spans="1:12">
      <c r="A45" s="95">
        <v>8086</v>
      </c>
      <c r="B45" s="95" t="s">
        <v>544</v>
      </c>
      <c r="C45" s="95">
        <f>VLOOKUP(" 普通股股本",PKB!$B$1:$L$500,9,0)</f>
        <v>1355</v>
      </c>
      <c r="D45" s="95">
        <f>VLOOKUP(" 普通股股本",PKB!$B$1:$L$500,8,0)</f>
        <v>1355</v>
      </c>
      <c r="E45" s="95">
        <f>VLOOKUP(" 普通股股本",PKB!$B$1:$L$500,7,0)</f>
        <v>1355</v>
      </c>
      <c r="F45" s="95">
        <f>VLOOKUP(" 普通股股本",PKB!$B$1:$L$500,6,0)</f>
        <v>1357</v>
      </c>
      <c r="G45" s="95">
        <f>VLOOKUP(" 普通股股本",PKB!$B$1:$L$500,5,0)</f>
        <v>1369</v>
      </c>
      <c r="H45" s="95">
        <f>VLOOKUP(" 普通股股本",PKB!$B$1:$L$500,4,0)</f>
        <v>1371</v>
      </c>
      <c r="I45" s="95">
        <f>VLOOKUP(" 普通股股本",PKB!$B$1:$L$500,3,0)</f>
        <v>1400</v>
      </c>
      <c r="J45" s="95">
        <f>VLOOKUP(" 普通股股本",PKB!$B$1:$L$500,2,0)</f>
        <v>1403</v>
      </c>
      <c r="K45" s="95"/>
      <c r="L45" s="95"/>
    </row>
    <row r="46" spans="1:12">
      <c r="A46" s="95">
        <v>3105</v>
      </c>
      <c r="B46" s="95" t="s">
        <v>544</v>
      </c>
      <c r="C46" s="95">
        <f>VLOOKUP(" 普通股股本",PKC!$B$1:$L$500,9,0)</f>
        <v>7393</v>
      </c>
      <c r="D46" s="95">
        <f>VLOOKUP(" 普通股股本",PKC!$B$1:$L$500,8,0)</f>
        <v>7402</v>
      </c>
      <c r="E46" s="95">
        <f>VLOOKUP(" 普通股股本",PKC!$B$1:$L$500,7,0)</f>
        <v>7406</v>
      </c>
      <c r="F46" s="95">
        <f>VLOOKUP(" 普通股股本",PKC!$B$1:$L$500,6,0)</f>
        <v>7421</v>
      </c>
      <c r="G46" s="95">
        <f>VLOOKUP(" 普通股股本",PKC!$B$1:$L$500,5,0)</f>
        <v>7422</v>
      </c>
      <c r="H46" s="95">
        <f>VLOOKUP(" 普通股股本",PKC!$B$1:$L$500,4,0)</f>
        <v>7434</v>
      </c>
      <c r="I46" s="95">
        <f>VLOOKUP(" 普通股股本",PKC!$B$1:$L$500,3,0)</f>
        <v>7441</v>
      </c>
      <c r="J46" s="95">
        <f>VLOOKUP(" 普通股股本",PKC!$B$1:$L$500,2,0)</f>
        <v>5955</v>
      </c>
      <c r="K46" s="95"/>
      <c r="L46" s="95"/>
    </row>
    <row r="47" spans="1:12">
      <c r="A47" s="94">
        <v>2455</v>
      </c>
      <c r="B47" s="94" t="s">
        <v>25</v>
      </c>
      <c r="C47" s="96">
        <f>IF(ISNUMBER((C2-C5)/C2),(C2-C5)/C2,0)</f>
        <v>0.28921568627450983</v>
      </c>
      <c r="D47" s="96">
        <f t="shared" ref="D47:J47" si="0">IF(ISNUMBER((D2-D5)/D2),(D2-D5)/D2,0)</f>
        <v>0.31914893617021278</v>
      </c>
      <c r="E47" s="96">
        <f t="shared" si="0"/>
        <v>0.33776091081593929</v>
      </c>
      <c r="F47" s="96">
        <f t="shared" si="0"/>
        <v>0.35537190082644626</v>
      </c>
      <c r="G47" s="96">
        <f t="shared" si="0"/>
        <v>0.36814159292035398</v>
      </c>
      <c r="H47" s="96">
        <f t="shared" si="0"/>
        <v>0.39047619047619048</v>
      </c>
      <c r="I47" s="96">
        <f t="shared" si="0"/>
        <v>0.38615384615384618</v>
      </c>
      <c r="J47" s="96">
        <f t="shared" si="0"/>
        <v>0.35762711864406782</v>
      </c>
      <c r="K47" s="94">
        <f>MIN(C47:J49)</f>
        <v>1.8656716417910446E-2</v>
      </c>
      <c r="L47" s="94">
        <f>MAX(C47:J49)</f>
        <v>0.40439409543426019</v>
      </c>
    </row>
    <row r="48" spans="1:12">
      <c r="A48" s="94">
        <v>8086</v>
      </c>
      <c r="B48" s="94" t="s">
        <v>25</v>
      </c>
      <c r="C48" s="96">
        <f>IF(ISNUMBER((C3-C6)/C3),(C3-C6)/C3,0)</f>
        <v>5.7777777777777775E-2</v>
      </c>
      <c r="D48" s="96">
        <f t="shared" ref="D48:J49" si="1">IF(ISNUMBER((D3-D6)/D3),(D3-D6)/D3,0)</f>
        <v>1.8656716417910446E-2</v>
      </c>
      <c r="E48" s="96">
        <f t="shared" si="1"/>
        <v>0.17973231357552583</v>
      </c>
      <c r="F48" s="96">
        <f t="shared" si="1"/>
        <v>0.21115065243179121</v>
      </c>
      <c r="G48" s="96">
        <f t="shared" si="1"/>
        <v>0.29082125603864734</v>
      </c>
      <c r="H48" s="96">
        <f t="shared" si="1"/>
        <v>0.33070866141732286</v>
      </c>
      <c r="I48" s="96">
        <f t="shared" si="1"/>
        <v>0.34335154826958103</v>
      </c>
      <c r="J48" s="96">
        <f t="shared" si="1"/>
        <v>0.33166248955722638</v>
      </c>
      <c r="K48" s="94"/>
      <c r="L48" s="94"/>
    </row>
    <row r="49" spans="1:12">
      <c r="A49" s="94">
        <v>3105</v>
      </c>
      <c r="B49" s="94" t="s">
        <v>25</v>
      </c>
      <c r="C49" s="96">
        <f>IF(ISNUMBER((C4-C7)/C4),(C4-C7)/C4,0)</f>
        <v>0.26583592938733125</v>
      </c>
      <c r="D49" s="96">
        <f t="shared" si="1"/>
        <v>0.29994001199760045</v>
      </c>
      <c r="E49" s="96">
        <f t="shared" si="1"/>
        <v>0.35026412027631043</v>
      </c>
      <c r="F49" s="96">
        <f t="shared" si="1"/>
        <v>0.37047898338220919</v>
      </c>
      <c r="G49" s="96">
        <f t="shared" si="1"/>
        <v>0.37265020272760779</v>
      </c>
      <c r="H49" s="96">
        <f t="shared" si="1"/>
        <v>0.37869611685073029</v>
      </c>
      <c r="I49" s="96">
        <f t="shared" si="1"/>
        <v>0.38754436915133916</v>
      </c>
      <c r="J49" s="96">
        <f t="shared" si="1"/>
        <v>0.40439409543426019</v>
      </c>
      <c r="K49" s="94"/>
      <c r="L49" s="94"/>
    </row>
    <row r="50" spans="1:12">
      <c r="A50" s="90">
        <v>2455</v>
      </c>
      <c r="B50" s="90" t="s">
        <v>213</v>
      </c>
      <c r="C50" s="97">
        <f t="shared" ref="C50:C55" si="2">D50</f>
        <v>63.826462765957444</v>
      </c>
      <c r="D50" s="97">
        <f t="shared" ref="D50:D55" si="3">IF(ISNUMBER(365/(D2*4/((C14+D14)/2))),365/(D2*4/((C14+D14)/2)),0)</f>
        <v>63.826462765957444</v>
      </c>
      <c r="E50" s="97">
        <f t="shared" ref="E50:J50" si="4">IF(ISNUMBER(365/(E2*4/((D14+E14)/2))),365/(E2*4/((D14+E14)/2)),0)</f>
        <v>53.416745730550282</v>
      </c>
      <c r="F50" s="97">
        <f t="shared" si="4"/>
        <v>56.03202479338843</v>
      </c>
      <c r="G50" s="97">
        <f t="shared" si="4"/>
        <v>62.179203539823014</v>
      </c>
      <c r="H50" s="97">
        <f t="shared" si="4"/>
        <v>64.135714285714286</v>
      </c>
      <c r="I50" s="97">
        <f t="shared" si="4"/>
        <v>57.347115384615385</v>
      </c>
      <c r="J50" s="97">
        <f t="shared" si="4"/>
        <v>64.570974576271183</v>
      </c>
      <c r="K50" s="90">
        <f>MIN(C50:J52)</f>
        <v>15.000569216757743</v>
      </c>
      <c r="L50" s="90">
        <f>MAX(C50:J52)</f>
        <v>64.570974576271183</v>
      </c>
    </row>
    <row r="51" spans="1:12">
      <c r="A51" s="90">
        <v>8086</v>
      </c>
      <c r="B51" s="90" t="s">
        <v>213</v>
      </c>
      <c r="C51" s="97">
        <f t="shared" si="2"/>
        <v>33.708022388059703</v>
      </c>
      <c r="D51" s="97">
        <f t="shared" si="3"/>
        <v>33.708022388059703</v>
      </c>
      <c r="E51" s="97">
        <f t="shared" ref="E51:J55" si="5">IF(ISNUMBER(365/(E3*4/((D15+E15)/2))),365/(E3*4/((D15+E15)/2)),0)</f>
        <v>18.75597514340344</v>
      </c>
      <c r="F51" s="97">
        <f t="shared" si="5"/>
        <v>16.669632265717677</v>
      </c>
      <c r="G51" s="97">
        <f t="shared" si="5"/>
        <v>19.440217391304348</v>
      </c>
      <c r="H51" s="97">
        <f t="shared" si="5"/>
        <v>19.624138779527559</v>
      </c>
      <c r="I51" s="97">
        <f t="shared" si="5"/>
        <v>15.000569216757743</v>
      </c>
      <c r="J51" s="97">
        <f t="shared" si="5"/>
        <v>17.114139515455303</v>
      </c>
      <c r="K51" s="90"/>
      <c r="L51" s="90">
        <f>AVERAGE(F51:J51)</f>
        <v>17.569739433752524</v>
      </c>
    </row>
    <row r="52" spans="1:12">
      <c r="A52" s="90">
        <v>3105</v>
      </c>
      <c r="B52" s="90" t="s">
        <v>213</v>
      </c>
      <c r="C52" s="97">
        <f t="shared" si="2"/>
        <v>34.677189562087584</v>
      </c>
      <c r="D52" s="97">
        <f t="shared" si="3"/>
        <v>34.677189562087584</v>
      </c>
      <c r="E52" s="97">
        <f t="shared" si="5"/>
        <v>27.308258837870785</v>
      </c>
      <c r="F52" s="97">
        <f t="shared" si="5"/>
        <v>27.84477842945585</v>
      </c>
      <c r="G52" s="97">
        <f t="shared" si="5"/>
        <v>28.706920383339476</v>
      </c>
      <c r="H52" s="97">
        <f t="shared" si="5"/>
        <v>26.42901674385465</v>
      </c>
      <c r="I52" s="97">
        <f t="shared" si="5"/>
        <v>28.414407873507582</v>
      </c>
      <c r="J52" s="97">
        <f t="shared" si="5"/>
        <v>30.385341572262274</v>
      </c>
      <c r="K52" s="90"/>
      <c r="L52" s="90">
        <f>AVERAGE(F52:J52)</f>
        <v>28.356093000483963</v>
      </c>
    </row>
    <row r="53" spans="1:12">
      <c r="A53" s="91">
        <v>2455</v>
      </c>
      <c r="B53" s="91" t="s">
        <v>214</v>
      </c>
      <c r="C53" s="98">
        <f t="shared" si="2"/>
        <v>104.26025390625</v>
      </c>
      <c r="D53" s="98">
        <f t="shared" si="3"/>
        <v>104.26025390625</v>
      </c>
      <c r="E53" s="98">
        <f t="shared" si="5"/>
        <v>81.314469914040117</v>
      </c>
      <c r="F53" s="98">
        <f t="shared" si="5"/>
        <v>77.5625</v>
      </c>
      <c r="G53" s="98">
        <f t="shared" si="5"/>
        <v>89.077380952380949</v>
      </c>
      <c r="H53" s="98">
        <f t="shared" si="5"/>
        <v>112.208984375</v>
      </c>
      <c r="I53" s="98">
        <f t="shared" si="5"/>
        <v>96.05263157894737</v>
      </c>
      <c r="J53" s="98">
        <f t="shared" si="5"/>
        <v>92.814973614775724</v>
      </c>
      <c r="K53" s="91">
        <f>MIN(C53:J55)</f>
        <v>44.997656249999999</v>
      </c>
      <c r="L53" s="91">
        <f>MAX(C53:J55)</f>
        <v>112.208984375</v>
      </c>
    </row>
    <row r="54" spans="1:12">
      <c r="A54" s="91">
        <v>8086</v>
      </c>
      <c r="B54" s="91" t="s">
        <v>214</v>
      </c>
      <c r="C54" s="98">
        <f t="shared" si="2"/>
        <v>52.737642585551328</v>
      </c>
      <c r="D54" s="98">
        <f t="shared" si="3"/>
        <v>52.737642585551328</v>
      </c>
      <c r="E54" s="98">
        <f t="shared" si="5"/>
        <v>52.325174825174827</v>
      </c>
      <c r="F54" s="98">
        <f t="shared" si="5"/>
        <v>51.388157894736842</v>
      </c>
      <c r="G54" s="98">
        <f t="shared" si="5"/>
        <v>50.100476839237054</v>
      </c>
      <c r="H54" s="98">
        <f t="shared" si="5"/>
        <v>49.986213235294116</v>
      </c>
      <c r="I54" s="98">
        <f t="shared" si="5"/>
        <v>50.497572815533978</v>
      </c>
      <c r="J54" s="98">
        <f t="shared" si="5"/>
        <v>44.997656249999999</v>
      </c>
      <c r="K54" s="91"/>
      <c r="L54" s="91">
        <f>AVERAGE(F54:J54)</f>
        <v>49.394015406960399</v>
      </c>
    </row>
    <row r="55" spans="1:12">
      <c r="A55" s="91">
        <v>3105</v>
      </c>
      <c r="B55" s="91" t="s">
        <v>214</v>
      </c>
      <c r="C55" s="98">
        <f t="shared" si="2"/>
        <v>84.994644387317919</v>
      </c>
      <c r="D55" s="98">
        <f t="shared" si="3"/>
        <v>84.994644387317919</v>
      </c>
      <c r="E55" s="98">
        <f t="shared" si="5"/>
        <v>74.472326454033762</v>
      </c>
      <c r="F55" s="98">
        <f t="shared" si="5"/>
        <v>75.687435300207042</v>
      </c>
      <c r="G55" s="98">
        <f t="shared" si="5"/>
        <v>84.226645123384259</v>
      </c>
      <c r="H55" s="98">
        <f t="shared" si="5"/>
        <v>89.340237958715605</v>
      </c>
      <c r="I55" s="98">
        <f t="shared" si="5"/>
        <v>96.15384615384616</v>
      </c>
      <c r="J55" s="98">
        <f t="shared" si="5"/>
        <v>111.7878242074928</v>
      </c>
      <c r="K55" s="91"/>
      <c r="L55" s="91">
        <f>AVERAGE(F55:J55)</f>
        <v>91.439197748729185</v>
      </c>
    </row>
    <row r="56" spans="1:12">
      <c r="A56" s="92">
        <v>2455</v>
      </c>
      <c r="B56" s="92" t="s">
        <v>215</v>
      </c>
      <c r="C56" s="99">
        <f t="shared" ref="C56:J56" si="6">C20/C23</f>
        <v>9.5922031290074372E-2</v>
      </c>
      <c r="D56" s="99">
        <f t="shared" si="6"/>
        <v>9.219143576826197E-2</v>
      </c>
      <c r="E56" s="99">
        <f t="shared" si="6"/>
        <v>0.21764705882352942</v>
      </c>
      <c r="F56" s="99">
        <f t="shared" si="6"/>
        <v>0.10992813414958744</v>
      </c>
      <c r="G56" s="99">
        <f t="shared" si="6"/>
        <v>0.11173042817329618</v>
      </c>
      <c r="H56" s="99">
        <f t="shared" si="6"/>
        <v>0.11604758436513717</v>
      </c>
      <c r="I56" s="99">
        <f t="shared" si="6"/>
        <v>0.22271662763466041</v>
      </c>
      <c r="J56" s="99">
        <f t="shared" si="6"/>
        <v>0.11193838254172016</v>
      </c>
      <c r="K56" s="92">
        <f>MIN(C56:J58)</f>
        <v>9.219143576826197E-2</v>
      </c>
      <c r="L56" s="92">
        <f>MAX(C56:J58)</f>
        <v>0.34571723426212592</v>
      </c>
    </row>
    <row r="57" spans="1:12">
      <c r="A57" s="92">
        <v>8086</v>
      </c>
      <c r="B57" s="92" t="s">
        <v>215</v>
      </c>
      <c r="C57" s="99">
        <f>IF(ISNUMBER(C21/C24),C21/C24,0)</f>
        <v>0.18223234624145787</v>
      </c>
      <c r="D57" s="99">
        <f t="shared" ref="D57:J57" si="7">D21/D24</f>
        <v>0.18943533697632059</v>
      </c>
      <c r="E57" s="99">
        <f t="shared" si="7"/>
        <v>0.25143560295324036</v>
      </c>
      <c r="F57" s="99">
        <f t="shared" si="7"/>
        <v>0.24419504643962847</v>
      </c>
      <c r="G57" s="99">
        <f t="shared" si="7"/>
        <v>0.2329996548153262</v>
      </c>
      <c r="H57" s="99">
        <f t="shared" si="7"/>
        <v>0.21271159374001916</v>
      </c>
      <c r="I57" s="99">
        <f t="shared" si="7"/>
        <v>0.29049972542559033</v>
      </c>
      <c r="J57" s="99">
        <f t="shared" si="7"/>
        <v>0.20793693938570262</v>
      </c>
      <c r="K57" s="92"/>
      <c r="L57" s="92"/>
    </row>
    <row r="58" spans="1:12">
      <c r="A58" s="92">
        <v>3105</v>
      </c>
      <c r="B58" s="92" t="s">
        <v>215</v>
      </c>
      <c r="C58" s="99">
        <f>IF(ISNUMBER(C22/C25),C22/C25,0)</f>
        <v>0.29461917392951875</v>
      </c>
      <c r="D58" s="99">
        <f t="shared" ref="D58:J58" si="8">IF(ISNUMBER(D22/D25),D22/D25,0)</f>
        <v>0.28363328790940273</v>
      </c>
      <c r="E58" s="99">
        <f t="shared" si="8"/>
        <v>0.34571723426212592</v>
      </c>
      <c r="F58" s="99">
        <f t="shared" si="8"/>
        <v>0.29344110854503463</v>
      </c>
      <c r="G58" s="99">
        <f t="shared" si="8"/>
        <v>0.26934360102676935</v>
      </c>
      <c r="H58" s="99">
        <f t="shared" si="8"/>
        <v>0.26559125567455594</v>
      </c>
      <c r="I58" s="99">
        <f t="shared" si="8"/>
        <v>0.27582821038251365</v>
      </c>
      <c r="J58" s="99">
        <f t="shared" si="8"/>
        <v>0.26723247563878039</v>
      </c>
      <c r="K58" s="92"/>
      <c r="L58" s="92"/>
    </row>
    <row r="59" spans="1:12">
      <c r="A59" s="93">
        <v>2455</v>
      </c>
      <c r="B59" s="93" t="s">
        <v>216</v>
      </c>
      <c r="C59" s="100">
        <f>IF(C8&gt;0,IF(C26&gt;C8,IF(ISNUMBER(C26/C8),C26/C8,0),0),0)</f>
        <v>3.693548387096774</v>
      </c>
      <c r="D59" s="100">
        <f t="shared" ref="D59:J59" si="9">IF(D8&gt;0,IF(D26&gt;D8,IF(ISNUMBER(D26/D8),D26/D8,0),0),0)</f>
        <v>1.2702702702702702</v>
      </c>
      <c r="E59" s="100">
        <f t="shared" si="9"/>
        <v>1.1931818181818181</v>
      </c>
      <c r="F59" s="100">
        <f t="shared" si="9"/>
        <v>0</v>
      </c>
      <c r="G59" s="100">
        <f t="shared" si="9"/>
        <v>1.6092715231788079</v>
      </c>
      <c r="H59" s="100">
        <f t="shared" si="9"/>
        <v>1.0451127819548873</v>
      </c>
      <c r="I59" s="100">
        <f t="shared" si="9"/>
        <v>0</v>
      </c>
      <c r="J59" s="100">
        <f t="shared" si="9"/>
        <v>1.8362573099415205</v>
      </c>
      <c r="K59" s="93"/>
      <c r="L59" s="93">
        <f>AVERAGE(F59:J59)</f>
        <v>0.8981283230150432</v>
      </c>
    </row>
    <row r="60" spans="1:12">
      <c r="A60" s="93">
        <v>8086</v>
      </c>
      <c r="B60" s="93" t="s">
        <v>216</v>
      </c>
      <c r="C60" s="100">
        <f>IF(C9&gt;0,IF(C27&gt;C9,IF(ISNUMBER(C27/C9),C27/C9,0),0),0)</f>
        <v>0</v>
      </c>
      <c r="D60" s="100">
        <f t="shared" ref="D60:J61" si="10">IF(D9&gt;0,IF(D27&gt;D9,IF(ISNUMBER(D27/D9),D27/D9,0),0),0)</f>
        <v>0</v>
      </c>
      <c r="E60" s="100">
        <f t="shared" si="10"/>
        <v>1.5853658536585367</v>
      </c>
      <c r="F60" s="100">
        <f t="shared" si="10"/>
        <v>0</v>
      </c>
      <c r="G60" s="100">
        <f t="shared" si="10"/>
        <v>1.5344827586206897</v>
      </c>
      <c r="H60" s="100">
        <f t="shared" si="10"/>
        <v>1.3771186440677967</v>
      </c>
      <c r="I60" s="100">
        <f t="shared" si="10"/>
        <v>1.5169811320754718</v>
      </c>
      <c r="J60" s="100">
        <f t="shared" si="10"/>
        <v>0</v>
      </c>
      <c r="K60" s="93"/>
      <c r="L60" s="93"/>
    </row>
    <row r="61" spans="1:12">
      <c r="A61" s="93">
        <v>3105</v>
      </c>
      <c r="B61" s="93" t="s">
        <v>216</v>
      </c>
      <c r="C61" s="100">
        <f>IF(C10&gt;0,IF(C28&gt;C10,IF(ISNUMBER(C28/C10),C28/C10,0),0),0)</f>
        <v>8.8095238095238102</v>
      </c>
      <c r="D61" s="100">
        <f t="shared" si="10"/>
        <v>2.4788732394366195</v>
      </c>
      <c r="E61" s="100">
        <f t="shared" si="10"/>
        <v>1.2659090909090909</v>
      </c>
      <c r="F61" s="100">
        <f t="shared" si="10"/>
        <v>1.3824701195219125</v>
      </c>
      <c r="G61" s="100">
        <f t="shared" si="10"/>
        <v>3.0592459605026932</v>
      </c>
      <c r="H61" s="100">
        <f t="shared" si="10"/>
        <v>1.2152103559870551</v>
      </c>
      <c r="I61" s="100">
        <f t="shared" si="10"/>
        <v>2.0614525139664805</v>
      </c>
      <c r="J61" s="100">
        <f t="shared" si="10"/>
        <v>1.2732919254658386</v>
      </c>
      <c r="K61" s="93"/>
      <c r="L61" s="93"/>
    </row>
    <row r="62" spans="1:12">
      <c r="A62" s="94">
        <v>2455</v>
      </c>
      <c r="B62" s="94" t="s">
        <v>217</v>
      </c>
      <c r="C62" s="101">
        <f>C38/C5</f>
        <v>0.18620689655172415</v>
      </c>
      <c r="D62" s="101">
        <f t="shared" ref="D62:J62" si="11">D38/D5</f>
        <v>0.2109375</v>
      </c>
      <c r="E62" s="101">
        <f t="shared" si="11"/>
        <v>0.15472779369627507</v>
      </c>
      <c r="F62" s="101">
        <f t="shared" si="11"/>
        <v>0.13589743589743589</v>
      </c>
      <c r="G62" s="101">
        <f t="shared" si="11"/>
        <v>0.15126050420168066</v>
      </c>
      <c r="H62" s="101">
        <f t="shared" si="11"/>
        <v>0.16250000000000001</v>
      </c>
      <c r="I62" s="101">
        <f t="shared" si="11"/>
        <v>0.13032581453634084</v>
      </c>
      <c r="J62" s="101">
        <f t="shared" si="11"/>
        <v>0.13720316622691292</v>
      </c>
      <c r="K62" s="94"/>
      <c r="L62" s="94"/>
    </row>
    <row r="63" spans="1:12">
      <c r="A63" s="94">
        <v>8086</v>
      </c>
      <c r="B63" s="94" t="s">
        <v>217</v>
      </c>
      <c r="C63" s="101">
        <f>C39/C6</f>
        <v>0.26886792452830188</v>
      </c>
      <c r="D63" s="101">
        <f t="shared" ref="D63:J64" si="12">D39/D6</f>
        <v>0.21292775665399238</v>
      </c>
      <c r="E63" s="101">
        <f t="shared" si="12"/>
        <v>0.13053613053613053</v>
      </c>
      <c r="F63" s="101">
        <f t="shared" si="12"/>
        <v>8.5714285714285715E-2</v>
      </c>
      <c r="G63" s="101">
        <f t="shared" si="12"/>
        <v>7.4931880108991822E-2</v>
      </c>
      <c r="H63" s="101">
        <f t="shared" si="12"/>
        <v>8.5294117647058826E-2</v>
      </c>
      <c r="I63" s="101">
        <f t="shared" si="12"/>
        <v>8.1830790568654652E-2</v>
      </c>
      <c r="J63" s="101">
        <f t="shared" si="12"/>
        <v>7.6249999999999998E-2</v>
      </c>
      <c r="K63" s="94"/>
      <c r="L63" s="94"/>
    </row>
    <row r="64" spans="1:12">
      <c r="A64" s="94">
        <v>3105</v>
      </c>
      <c r="B64" s="94" t="s">
        <v>217</v>
      </c>
      <c r="C64" s="101">
        <f>C40/C7</f>
        <v>0.31541725601131543</v>
      </c>
      <c r="D64" s="101">
        <f t="shared" si="12"/>
        <v>0.39331619537275064</v>
      </c>
      <c r="E64" s="101">
        <f t="shared" si="12"/>
        <v>0.28893058161350843</v>
      </c>
      <c r="F64" s="101">
        <f t="shared" si="12"/>
        <v>0.24068322981366461</v>
      </c>
      <c r="G64" s="101">
        <f t="shared" si="12"/>
        <v>0.27379553466509987</v>
      </c>
      <c r="H64" s="101">
        <f t="shared" si="12"/>
        <v>0.26834862385321101</v>
      </c>
      <c r="I64" s="101">
        <f t="shared" si="12"/>
        <v>0.2476290832455216</v>
      </c>
      <c r="J64" s="101">
        <f t="shared" si="12"/>
        <v>0.2737752161383285</v>
      </c>
      <c r="K64" s="94"/>
      <c r="L64" s="94"/>
    </row>
    <row r="65" spans="1:12">
      <c r="A65" s="90">
        <v>2455</v>
      </c>
      <c r="B65" s="90" t="s">
        <v>218</v>
      </c>
      <c r="C65" s="102">
        <f>C41/C2</f>
        <v>0.125</v>
      </c>
      <c r="D65" s="102">
        <f t="shared" ref="D65:J65" si="13">D41/D2</f>
        <v>0.11702127659574468</v>
      </c>
      <c r="E65" s="102">
        <f t="shared" si="13"/>
        <v>9.1081593927893736E-2</v>
      </c>
      <c r="F65" s="102">
        <f t="shared" si="13"/>
        <v>7.9338842975206617E-2</v>
      </c>
      <c r="G65" s="102">
        <f t="shared" si="13"/>
        <v>0.10088495575221239</v>
      </c>
      <c r="H65" s="102">
        <f t="shared" si="13"/>
        <v>9.7142857142857142E-2</v>
      </c>
      <c r="I65" s="102">
        <f t="shared" si="13"/>
        <v>8.3076923076923076E-2</v>
      </c>
      <c r="J65" s="102">
        <f t="shared" si="13"/>
        <v>9.3220338983050849E-2</v>
      </c>
      <c r="K65" s="90"/>
      <c r="L65" s="90"/>
    </row>
    <row r="66" spans="1:12">
      <c r="A66" s="90">
        <v>8086</v>
      </c>
      <c r="B66" s="90" t="s">
        <v>218</v>
      </c>
      <c r="C66" s="102">
        <f>C42/C3</f>
        <v>0.17333333333333334</v>
      </c>
      <c r="D66" s="102">
        <f t="shared" ref="D66:J67" si="14">D42/D3</f>
        <v>0.13805970149253732</v>
      </c>
      <c r="E66" s="102">
        <f t="shared" si="14"/>
        <v>8.2217973231357558E-2</v>
      </c>
      <c r="F66" s="102">
        <f t="shared" si="14"/>
        <v>5.575326215895611E-2</v>
      </c>
      <c r="G66" s="102">
        <f t="shared" si="14"/>
        <v>5.2173913043478258E-2</v>
      </c>
      <c r="H66" s="102">
        <f t="shared" si="14"/>
        <v>6.0039370078740155E-2</v>
      </c>
      <c r="I66" s="102">
        <f t="shared" si="14"/>
        <v>5.3734061930783242E-2</v>
      </c>
      <c r="J66" s="102">
        <f t="shared" si="14"/>
        <v>5.3467000835421885E-2</v>
      </c>
      <c r="K66" s="90"/>
      <c r="L66" s="90"/>
    </row>
    <row r="67" spans="1:12">
      <c r="A67" s="90">
        <v>3105</v>
      </c>
      <c r="B67" s="90" t="s">
        <v>218</v>
      </c>
      <c r="C67" s="102">
        <f>C43/C4</f>
        <v>0.1391484942886812</v>
      </c>
      <c r="D67" s="102">
        <f t="shared" si="14"/>
        <v>0.17816436712657469</v>
      </c>
      <c r="E67" s="102">
        <f t="shared" si="14"/>
        <v>0.11905729378301504</v>
      </c>
      <c r="F67" s="102">
        <f t="shared" si="14"/>
        <v>8.8302378624959266E-2</v>
      </c>
      <c r="G67" s="102">
        <f t="shared" si="14"/>
        <v>0.12311094729082196</v>
      </c>
      <c r="H67" s="102">
        <f t="shared" si="14"/>
        <v>0.10260064125400783</v>
      </c>
      <c r="I67" s="102">
        <f t="shared" si="14"/>
        <v>9.6805421103581799E-2</v>
      </c>
      <c r="J67" s="102">
        <f t="shared" si="14"/>
        <v>0.1201510470305527</v>
      </c>
      <c r="K67" s="90"/>
      <c r="L67" s="90"/>
    </row>
    <row r="68" spans="1:12">
      <c r="A68" s="91">
        <v>2455</v>
      </c>
      <c r="B68" s="91" t="s">
        <v>546</v>
      </c>
      <c r="C68" s="103">
        <f t="shared" ref="C68:J70" si="15">ROUND((C2/C44)*10,2)</f>
        <v>1.66</v>
      </c>
      <c r="D68" s="103">
        <f t="shared" si="15"/>
        <v>1.53</v>
      </c>
      <c r="E68" s="103">
        <f t="shared" si="15"/>
        <v>2.14</v>
      </c>
      <c r="F68" s="103">
        <f t="shared" si="15"/>
        <v>2.4500000000000002</v>
      </c>
      <c r="G68" s="103">
        <f t="shared" si="15"/>
        <v>2.29</v>
      </c>
      <c r="H68" s="103">
        <f t="shared" si="15"/>
        <v>2.13</v>
      </c>
      <c r="I68" s="103">
        <f t="shared" si="15"/>
        <v>2.64</v>
      </c>
      <c r="J68" s="103">
        <f t="shared" si="15"/>
        <v>2.39</v>
      </c>
      <c r="K68" s="91"/>
      <c r="L68" s="91"/>
    </row>
    <row r="69" spans="1:12">
      <c r="A69" s="91">
        <v>8086</v>
      </c>
      <c r="B69" s="91" t="s">
        <v>546</v>
      </c>
      <c r="C69" s="103">
        <f t="shared" si="15"/>
        <v>1.66</v>
      </c>
      <c r="D69" s="103">
        <f t="shared" si="15"/>
        <v>1.98</v>
      </c>
      <c r="E69" s="103">
        <f t="shared" si="15"/>
        <v>3.86</v>
      </c>
      <c r="F69" s="103">
        <f t="shared" si="15"/>
        <v>6.21</v>
      </c>
      <c r="G69" s="103">
        <f t="shared" si="15"/>
        <v>7.56</v>
      </c>
      <c r="H69" s="103">
        <f t="shared" si="15"/>
        <v>7.41</v>
      </c>
      <c r="I69" s="103">
        <f t="shared" si="15"/>
        <v>7.84</v>
      </c>
      <c r="J69" s="103">
        <f t="shared" si="15"/>
        <v>8.5299999999999994</v>
      </c>
      <c r="K69" s="91"/>
      <c r="L69" s="91"/>
    </row>
    <row r="70" spans="1:12">
      <c r="A70" s="91">
        <v>3105</v>
      </c>
      <c r="B70" s="91" t="s">
        <v>546</v>
      </c>
      <c r="C70" s="91">
        <f t="shared" si="15"/>
        <v>2.61</v>
      </c>
      <c r="D70" s="91">
        <f t="shared" si="15"/>
        <v>2.25</v>
      </c>
      <c r="E70" s="91">
        <f t="shared" si="15"/>
        <v>3.32</v>
      </c>
      <c r="F70" s="91">
        <f t="shared" si="15"/>
        <v>4.1399999999999997</v>
      </c>
      <c r="G70" s="91">
        <f t="shared" si="15"/>
        <v>3.66</v>
      </c>
      <c r="H70" s="91">
        <f t="shared" si="15"/>
        <v>3.78</v>
      </c>
      <c r="I70" s="91">
        <f t="shared" si="15"/>
        <v>4.16</v>
      </c>
      <c r="J70" s="91">
        <f t="shared" si="15"/>
        <v>4.8899999999999997</v>
      </c>
      <c r="K70" s="91"/>
      <c r="L70" s="91"/>
    </row>
    <row r="71" spans="1:12">
      <c r="A71" s="104">
        <v>2455</v>
      </c>
      <c r="B71" s="104" t="s">
        <v>545</v>
      </c>
      <c r="C71" s="104">
        <f t="shared" ref="C71:J73" si="16">ROUND((C26/C44)*10,2)</f>
        <v>0.93</v>
      </c>
      <c r="D71" s="104">
        <f t="shared" si="16"/>
        <v>0.38</v>
      </c>
      <c r="E71" s="104">
        <f t="shared" si="16"/>
        <v>0.43</v>
      </c>
      <c r="F71" s="104">
        <f t="shared" si="16"/>
        <v>0.62</v>
      </c>
      <c r="G71" s="104">
        <f t="shared" si="16"/>
        <v>0.99</v>
      </c>
      <c r="H71" s="104">
        <f t="shared" si="16"/>
        <v>0.56000000000000005</v>
      </c>
      <c r="I71" s="104">
        <f t="shared" si="16"/>
        <v>0.61</v>
      </c>
      <c r="J71" s="104">
        <f t="shared" si="16"/>
        <v>1.27</v>
      </c>
      <c r="K71" s="104"/>
      <c r="L71" s="104"/>
    </row>
    <row r="72" spans="1:12">
      <c r="A72" s="104">
        <v>8086</v>
      </c>
      <c r="B72" s="104" t="s">
        <v>545</v>
      </c>
      <c r="C72" s="104">
        <f t="shared" si="16"/>
        <v>0.75</v>
      </c>
      <c r="D72" s="104">
        <f t="shared" si="16"/>
        <v>0.24</v>
      </c>
      <c r="E72" s="104">
        <f t="shared" si="16"/>
        <v>0.48</v>
      </c>
      <c r="F72" s="104">
        <f t="shared" si="16"/>
        <v>0.72</v>
      </c>
      <c r="G72" s="104">
        <f t="shared" si="16"/>
        <v>2.6</v>
      </c>
      <c r="H72" s="104">
        <f t="shared" si="16"/>
        <v>2.37</v>
      </c>
      <c r="I72" s="104">
        <f t="shared" si="16"/>
        <v>2.87</v>
      </c>
      <c r="J72" s="104">
        <f t="shared" si="16"/>
        <v>2.13</v>
      </c>
      <c r="K72" s="104"/>
      <c r="L72" s="104"/>
    </row>
    <row r="73" spans="1:12">
      <c r="A73" s="104">
        <v>3105</v>
      </c>
      <c r="B73" s="104" t="s">
        <v>545</v>
      </c>
      <c r="C73" s="104">
        <f t="shared" si="16"/>
        <v>1.5</v>
      </c>
      <c r="D73" s="104">
        <f t="shared" si="16"/>
        <v>0.71</v>
      </c>
      <c r="E73" s="104">
        <f t="shared" si="16"/>
        <v>0.75</v>
      </c>
      <c r="F73" s="104">
        <f t="shared" si="16"/>
        <v>1.4</v>
      </c>
      <c r="G73" s="104">
        <f t="shared" si="16"/>
        <v>2.2999999999999998</v>
      </c>
      <c r="H73" s="104">
        <f t="shared" si="16"/>
        <v>1.01</v>
      </c>
      <c r="I73" s="104">
        <f t="shared" si="16"/>
        <v>1.49</v>
      </c>
      <c r="J73" s="104">
        <f t="shared" si="16"/>
        <v>1.72</v>
      </c>
      <c r="K73" s="104"/>
      <c r="L73" s="104"/>
    </row>
    <row r="74" spans="1:12">
      <c r="A74" s="105">
        <v>2455</v>
      </c>
      <c r="B74" s="105" t="s">
        <v>1872</v>
      </c>
      <c r="C74" s="105">
        <f>IF(C32&lt;0,ROUND((-C32/C44)*10,2),0)</f>
        <v>0.19</v>
      </c>
      <c r="D74" s="105">
        <f t="shared" ref="D74:J74" si="17">IF(D32&lt;0,ROUND((-D32/D44)*10,2),0)</f>
        <v>0.04</v>
      </c>
      <c r="E74" s="105">
        <f t="shared" si="17"/>
        <v>0</v>
      </c>
      <c r="F74" s="105">
        <f t="shared" si="17"/>
        <v>0.01</v>
      </c>
      <c r="G74" s="105">
        <f t="shared" si="17"/>
        <v>0.3</v>
      </c>
      <c r="H74" s="105">
        <f t="shared" si="17"/>
        <v>0</v>
      </c>
      <c r="I74" s="105">
        <f t="shared" si="17"/>
        <v>0</v>
      </c>
      <c r="J74" s="105">
        <f t="shared" si="17"/>
        <v>7.0000000000000007E-2</v>
      </c>
      <c r="K74" s="105"/>
      <c r="L74" s="105"/>
    </row>
    <row r="75" spans="1:12">
      <c r="A75" s="105">
        <v>8086</v>
      </c>
      <c r="B75" s="105" t="s">
        <v>1872</v>
      </c>
      <c r="C75" s="105">
        <f>IF(C33&lt;0,ROUND((-C33/C45)*10,2),0)</f>
        <v>7.0000000000000007E-2</v>
      </c>
      <c r="D75" s="105">
        <f t="shared" ref="D75:J75" si="18">IF(D33&lt;0,ROUND((-D33/D45)*10,2),0)</f>
        <v>0.02</v>
      </c>
      <c r="E75" s="105">
        <f t="shared" si="18"/>
        <v>0.5</v>
      </c>
      <c r="F75" s="105">
        <f t="shared" si="18"/>
        <v>0.6</v>
      </c>
      <c r="G75" s="105">
        <f t="shared" si="18"/>
        <v>1.22</v>
      </c>
      <c r="H75" s="105">
        <f t="shared" si="18"/>
        <v>1.1499999999999999</v>
      </c>
      <c r="I75" s="105">
        <f t="shared" si="18"/>
        <v>0.56000000000000005</v>
      </c>
      <c r="J75" s="105">
        <f t="shared" si="18"/>
        <v>0.82</v>
      </c>
      <c r="K75" s="105"/>
      <c r="L75" s="105"/>
    </row>
    <row r="76" spans="1:12">
      <c r="A76" s="105">
        <v>3105</v>
      </c>
      <c r="B76" s="105" t="s">
        <v>1872</v>
      </c>
      <c r="C76" s="105">
        <f>IF(C34&lt;0,ROUND((-C34/C46)*10,2),0)</f>
        <v>0.63</v>
      </c>
      <c r="D76" s="105">
        <f t="shared" ref="D76:J76" si="19">IF(D34&lt;0,ROUND((-D34/D46)*10,2),0)</f>
        <v>0.31</v>
      </c>
      <c r="E76" s="105">
        <f t="shared" si="19"/>
        <v>0.18</v>
      </c>
      <c r="F76" s="105">
        <f t="shared" si="19"/>
        <v>0.12</v>
      </c>
      <c r="G76" s="105">
        <f t="shared" si="19"/>
        <v>0.38</v>
      </c>
      <c r="H76" s="105">
        <f t="shared" si="19"/>
        <v>0.67</v>
      </c>
      <c r="I76" s="105">
        <f t="shared" si="19"/>
        <v>0.51</v>
      </c>
      <c r="J76" s="105">
        <f t="shared" si="19"/>
        <v>1.52</v>
      </c>
      <c r="K76" s="105"/>
      <c r="L76" s="105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2357</v>
      </c>
    </row>
    <row r="3" spans="2:10">
      <c r="B3" t="s">
        <v>47</v>
      </c>
    </row>
    <row r="4" spans="2:10">
      <c r="B4" t="s">
        <v>48</v>
      </c>
      <c r="C4" t="s">
        <v>2267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2358</v>
      </c>
    </row>
    <row r="102" spans="2:10">
      <c r="B102" t="s">
        <v>47</v>
      </c>
    </row>
    <row r="103" spans="2:10">
      <c r="B103" t="s">
        <v>48</v>
      </c>
      <c r="C103" t="s">
        <v>2267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2357</v>
      </c>
    </row>
    <row r="202" spans="2:10">
      <c r="B202" t="s">
        <v>47</v>
      </c>
    </row>
    <row r="203" spans="2:10">
      <c r="B203" t="s">
        <v>48</v>
      </c>
      <c r="C203" t="s">
        <v>2267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2359</v>
      </c>
    </row>
    <row r="3" spans="2:10">
      <c r="B3" t="s">
        <v>47</v>
      </c>
    </row>
    <row r="4" spans="2:10">
      <c r="B4" t="s">
        <v>48</v>
      </c>
      <c r="C4" t="s">
        <v>2267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2360</v>
      </c>
    </row>
    <row r="102" spans="2:10">
      <c r="B102" t="s">
        <v>47</v>
      </c>
    </row>
    <row r="103" spans="2:10">
      <c r="B103" t="s">
        <v>48</v>
      </c>
      <c r="C103" t="s">
        <v>2267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2359</v>
      </c>
    </row>
    <row r="202" spans="2:10">
      <c r="B202" t="s">
        <v>47</v>
      </c>
    </row>
    <row r="203" spans="2:10">
      <c r="B203" t="s">
        <v>48</v>
      </c>
      <c r="C203" t="s">
        <v>2267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2361</v>
      </c>
    </row>
    <row r="3" spans="2:10">
      <c r="B3" t="s">
        <v>47</v>
      </c>
    </row>
    <row r="4" spans="2:10">
      <c r="B4" t="s">
        <v>48</v>
      </c>
      <c r="C4" t="s">
        <v>2267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2362</v>
      </c>
    </row>
    <row r="102" spans="2:10">
      <c r="B102" t="s">
        <v>47</v>
      </c>
    </row>
    <row r="103" spans="2:10">
      <c r="B103" t="s">
        <v>48</v>
      </c>
      <c r="C103" t="s">
        <v>2267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2361</v>
      </c>
    </row>
    <row r="202" spans="2:10">
      <c r="B202" t="s">
        <v>47</v>
      </c>
    </row>
    <row r="203" spans="2:10">
      <c r="B203" t="s">
        <v>48</v>
      </c>
      <c r="C203" t="s">
        <v>2267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L24" sqref="L24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42312</v>
      </c>
      <c r="D6" s="32">
        <v>0</v>
      </c>
      <c r="E6" s="32">
        <v>0</v>
      </c>
      <c r="F6" s="32">
        <v>0</v>
      </c>
      <c r="G6" s="51">
        <v>42291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42311</v>
      </c>
      <c r="D7" s="32">
        <v>0</v>
      </c>
      <c r="E7" s="32">
        <v>0</v>
      </c>
      <c r="F7" s="32">
        <v>0</v>
      </c>
      <c r="G7" s="51">
        <v>42290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42310</v>
      </c>
      <c r="D8" s="32">
        <v>0</v>
      </c>
      <c r="E8" s="32">
        <v>0</v>
      </c>
      <c r="F8" s="32">
        <v>0</v>
      </c>
      <c r="G8" s="51">
        <v>42289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42307</v>
      </c>
      <c r="D9" s="32">
        <v>0</v>
      </c>
      <c r="E9" s="32">
        <v>0</v>
      </c>
      <c r="F9" s="32">
        <v>0</v>
      </c>
      <c r="G9" s="51">
        <v>42285</v>
      </c>
      <c r="H9" s="32">
        <v>0</v>
      </c>
      <c r="I9" s="32">
        <v>0</v>
      </c>
      <c r="J9" s="32">
        <v>0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42306</v>
      </c>
      <c r="D10" s="32">
        <v>0</v>
      </c>
      <c r="E10" s="32">
        <v>0</v>
      </c>
      <c r="F10" s="32">
        <v>0</v>
      </c>
      <c r="G10" s="51">
        <v>42284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42305</v>
      </c>
      <c r="D11" s="32">
        <v>1</v>
      </c>
      <c r="E11" s="32">
        <v>0</v>
      </c>
      <c r="F11" s="32">
        <v>1</v>
      </c>
      <c r="G11" s="51">
        <v>42283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42304</v>
      </c>
      <c r="D12" s="32">
        <v>0</v>
      </c>
      <c r="E12" s="32">
        <v>0</v>
      </c>
      <c r="F12" s="32">
        <v>0</v>
      </c>
      <c r="G12" s="51">
        <v>42282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42303</v>
      </c>
      <c r="D13" s="32">
        <v>0</v>
      </c>
      <c r="E13" s="32">
        <v>0</v>
      </c>
      <c r="F13" s="32">
        <v>0</v>
      </c>
      <c r="G13" s="51">
        <v>42279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42300</v>
      </c>
      <c r="D14" s="32">
        <v>0</v>
      </c>
      <c r="E14" s="32">
        <v>0</v>
      </c>
      <c r="F14" s="32">
        <v>0</v>
      </c>
      <c r="G14" s="51">
        <v>42278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42299</v>
      </c>
      <c r="D15" s="32">
        <v>0</v>
      </c>
      <c r="E15" s="32">
        <v>0</v>
      </c>
      <c r="F15" s="32">
        <v>0</v>
      </c>
      <c r="G15" s="51">
        <v>42277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42298</v>
      </c>
      <c r="D16" s="32">
        <v>0</v>
      </c>
      <c r="E16" s="32">
        <v>0</v>
      </c>
      <c r="F16" s="32">
        <v>0</v>
      </c>
      <c r="G16" s="51">
        <v>42272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42297</v>
      </c>
      <c r="D17" s="32">
        <v>0</v>
      </c>
      <c r="E17" s="32">
        <v>0</v>
      </c>
      <c r="F17" s="32">
        <v>0</v>
      </c>
      <c r="G17" s="51">
        <v>42271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42296</v>
      </c>
      <c r="D18" s="32">
        <v>0</v>
      </c>
      <c r="E18" s="32">
        <v>0</v>
      </c>
      <c r="F18" s="32">
        <v>0</v>
      </c>
      <c r="G18" s="51">
        <v>42270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42293</v>
      </c>
      <c r="D19" s="32">
        <v>0</v>
      </c>
      <c r="E19" s="32">
        <v>0</v>
      </c>
      <c r="F19" s="32">
        <v>0</v>
      </c>
      <c r="G19" s="51">
        <v>42269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42292</v>
      </c>
      <c r="D20" s="32">
        <v>0</v>
      </c>
      <c r="E20" s="32">
        <v>0</v>
      </c>
      <c r="F20" s="32">
        <v>0</v>
      </c>
      <c r="G20" s="51">
        <v>42268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60" r:id="rId3" name="CommandButton2"/>
    <control shapeId="19457" r:id="rId4" name="CommandButton1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已命名的範圍</vt:lpstr>
      </vt:variant>
      <vt:variant>
        <vt:i4>1140</vt:i4>
      </vt:variant>
    </vt:vector>
  </HeadingPairs>
  <TitlesOfParts>
    <vt:vector size="1160" baseType="lpstr">
      <vt:lpstr>基本設定</vt:lpstr>
      <vt:lpstr>收盤價</vt:lpstr>
      <vt:lpstr>紅綠燈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葛林公式!外部資料_1</vt:lpstr>
      <vt:lpstr>葛林公式!外部資料_10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葛林公式!外部資料_11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葛林公式!外部資料_12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葛林公式!外部資料_13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評比系統!外部資料_138</vt:lpstr>
      <vt:lpstr>評比系統!外部資料_139</vt:lpstr>
      <vt:lpstr>葛林公式!外部資料_14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葛林公式!外部資料_15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葛林公式!外部資料_16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葛林公式!外部資料_17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葛林公式!外部資料_18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葛林公式!外部資料_19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葛林公式!外部資料_2</vt:lpstr>
      <vt:lpstr>葛林公式!外部資料_20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葛林公式!外部資料_21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葛林公式!外部資料_22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葛林公式!外部資料_23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葛林公式!外部資料_24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葛林公式!外部資料_25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葛林公式!外部資料_26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葛林公式!外部資料_27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葛林公式!外部資料_28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葛林公式!外部資料_29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葛林公式!外部資料_3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評比系統!外部資料_330</vt:lpstr>
      <vt:lpstr>評比系統!外部資料_331</vt:lpstr>
      <vt:lpstr>評比系統!外部資料_332</vt:lpstr>
      <vt:lpstr>評比系統!外部資料_333</vt:lpstr>
      <vt:lpstr>評比系統!外部資料_334</vt:lpstr>
      <vt:lpstr>評比系統!外部資料_335</vt:lpstr>
      <vt:lpstr>評比系統!外部資料_336</vt:lpstr>
      <vt:lpstr>評比系統!外部資料_337</vt:lpstr>
      <vt:lpstr>評比系統!外部資料_338</vt:lpstr>
      <vt:lpstr>評比系統!外部資料_339</vt:lpstr>
      <vt:lpstr>評比系統!外部資料_340</vt:lpstr>
      <vt:lpstr>評比系統!外部資料_341</vt:lpstr>
      <vt:lpstr>評比系統!外部資料_342</vt:lpstr>
      <vt:lpstr>評比系統!外部資料_343</vt:lpstr>
      <vt:lpstr>評比系統!外部資料_344</vt:lpstr>
      <vt:lpstr>評比系統!外部資料_345</vt:lpstr>
      <vt:lpstr>評比系統!外部資料_346</vt:lpstr>
      <vt:lpstr>篩股系統!外部資料_346</vt:lpstr>
      <vt:lpstr>評比系統!外部資料_347</vt:lpstr>
      <vt:lpstr>評比系統!外部資料_348</vt:lpstr>
      <vt:lpstr>評比系統!外部資料_349</vt:lpstr>
      <vt:lpstr>評比系統!外部資料_350</vt:lpstr>
      <vt:lpstr>評比系統!外部資料_351</vt:lpstr>
      <vt:lpstr>評比系統!外部資料_352</vt:lpstr>
      <vt:lpstr>評比系統!外部資料_353</vt:lpstr>
      <vt:lpstr>評比系統!外部資料_354</vt:lpstr>
      <vt:lpstr>評比系統!外部資料_355</vt:lpstr>
      <vt:lpstr>評比系統!外部資料_356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葛林公式!外部資料_4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葛林公式!外部資料_5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葛林公式!外部資料_6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葛林公式!外部資料_7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葛林公式!外部資料_8</vt:lpstr>
      <vt:lpstr>評比系統!外部資料_80</vt:lpstr>
      <vt:lpstr>營收搶先報!外部資料_80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營收搶先報!外部資料_81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營收搶先報!外部資料_82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營收搶先報!外部資料_83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營收搶先報!外部資料_84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營收搶先報!外部資料_85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營收搶先報!外部資料_86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營收搶先報!外部資料_87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葛林公式!外部資料_9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評比系統!持股分佈_10</vt:lpstr>
      <vt:lpstr>評比系統!持股分佈_11</vt:lpstr>
      <vt:lpstr>評比系統!持股分佈_12</vt:lpstr>
      <vt:lpstr>評比系統!持股分佈_13</vt:lpstr>
      <vt:lpstr>評比系統!持股分佈_14</vt:lpstr>
      <vt:lpstr>評比系統!持股分佈_15</vt:lpstr>
      <vt:lpstr>評比系統!持股分佈_16</vt:lpstr>
      <vt:lpstr>評比系統!持股分佈_17</vt:lpstr>
      <vt:lpstr>評比系統!持股分佈_18</vt:lpstr>
      <vt:lpstr>評比系統!持股分佈_19</vt:lpstr>
      <vt:lpstr>評比系統!持股分佈_20</vt:lpstr>
      <vt:lpstr>評比系統!持股分佈_21</vt:lpstr>
      <vt:lpstr>評比系統!持股分佈_22</vt:lpstr>
      <vt:lpstr>評比系統!持股分佈_23</vt:lpstr>
      <vt:lpstr>評比系統!持股分佈_24</vt:lpstr>
      <vt:lpstr>評比系統!持股分佈_25</vt:lpstr>
      <vt:lpstr>評比系統!持股分佈_26</vt:lpstr>
      <vt:lpstr>評比系統!持股分佈_27</vt:lpstr>
      <vt:lpstr>評比系統!持股分佈_28</vt:lpstr>
      <vt:lpstr>評比系統!持股分佈_29</vt:lpstr>
      <vt:lpstr>評比系統!持股分佈_3</vt:lpstr>
      <vt:lpstr>評比系統!持股分佈_30</vt:lpstr>
      <vt:lpstr>評比系統!持股分佈_31</vt:lpstr>
      <vt:lpstr>評比系統!持股分佈_32</vt:lpstr>
      <vt:lpstr>評比系統!持股分佈_33</vt:lpstr>
      <vt:lpstr>評比系統!持股分佈_34</vt:lpstr>
      <vt:lpstr>評比系統!持股分佈_35</vt:lpstr>
      <vt:lpstr>評比系統!持股分佈_36</vt:lpstr>
      <vt:lpstr>評比系統!持股分佈_37</vt:lpstr>
      <vt:lpstr>評比系統!持股分佈_38</vt:lpstr>
      <vt:lpstr>篩股系統!持股分佈_38</vt:lpstr>
      <vt:lpstr>評比系統!持股分佈_39</vt:lpstr>
      <vt:lpstr>評比系統!持股分佈_4</vt:lpstr>
      <vt:lpstr>評比系統!持股分佈_40</vt:lpstr>
      <vt:lpstr>評比系統!持股分佈_41</vt:lpstr>
      <vt:lpstr>評比系統!持股分佈_42</vt:lpstr>
      <vt:lpstr>評比系統!持股分佈_43</vt:lpstr>
      <vt:lpstr>評比系統!持股分佈_44</vt:lpstr>
      <vt:lpstr>評比系統!持股分佈_45</vt:lpstr>
      <vt:lpstr>評比系統!持股分佈_46</vt:lpstr>
      <vt:lpstr>評比系統!持股分佈_47</vt:lpstr>
      <vt:lpstr>評比系統!持股分佈_48</vt:lpstr>
      <vt:lpstr>評比系統!持股分佈_49</vt:lpstr>
      <vt:lpstr>評比系統!持股分佈_5</vt:lpstr>
      <vt:lpstr>評比系統!持股分佈_50</vt:lpstr>
      <vt:lpstr>評比系統!持股分佈_51</vt:lpstr>
      <vt:lpstr>評比系統!持股分佈_52</vt:lpstr>
      <vt:lpstr>評比系統!持股分佈_53</vt:lpstr>
      <vt:lpstr>評比系統!持股分佈_54</vt:lpstr>
      <vt:lpstr>評比系統!持股分佈_55</vt:lpstr>
      <vt:lpstr>評比系統!持股分佈_56</vt:lpstr>
      <vt:lpstr>評比系統!持股分佈_57</vt:lpstr>
      <vt:lpstr>評比系統!持股分佈_58</vt:lpstr>
      <vt:lpstr>評比系統!持股分佈_59</vt:lpstr>
      <vt:lpstr>評比系統!持股分佈_6</vt:lpstr>
      <vt:lpstr>評比系統!持股分佈_60</vt:lpstr>
      <vt:lpstr>評比系統!持股分佈_61</vt:lpstr>
      <vt:lpstr>評比系統!持股分佈_62</vt:lpstr>
      <vt:lpstr>評比系統!持股分佈_63</vt:lpstr>
      <vt:lpstr>評比系統!持股分佈_64</vt:lpstr>
      <vt:lpstr>評比系統!持股分佈_65</vt:lpstr>
      <vt:lpstr>評比系統!持股分佈_66</vt:lpstr>
      <vt:lpstr>評比系統!持股分佈_67</vt:lpstr>
      <vt:lpstr>評比系統!持股分佈_68</vt:lpstr>
      <vt:lpstr>評比系統!持股分佈_69</vt:lpstr>
      <vt:lpstr>評比系統!持股分佈_7</vt:lpstr>
      <vt:lpstr>評比系統!持股分佈_70</vt:lpstr>
      <vt:lpstr>評比系統!持股分佈_71</vt:lpstr>
      <vt:lpstr>評比系統!持股分佈_72</vt:lpstr>
      <vt:lpstr>評比系統!持股分佈_73</vt:lpstr>
      <vt:lpstr>評比系統!持股分佈_74</vt:lpstr>
      <vt:lpstr>評比系統!持股分佈_75</vt:lpstr>
      <vt:lpstr>評比系統!持股分佈_76</vt:lpstr>
      <vt:lpstr>評比系統!持股分佈_77</vt:lpstr>
      <vt:lpstr>評比系統!持股分佈_78</vt:lpstr>
      <vt:lpstr>評比系統!持股分佈_79</vt:lpstr>
      <vt:lpstr>評比系統!持股分佈_8</vt:lpstr>
      <vt:lpstr>評比系統!持股分佈_80</vt:lpstr>
      <vt:lpstr>評比系統!持股分佈_81</vt:lpstr>
      <vt:lpstr>評比系統!持股分佈_82</vt:lpstr>
      <vt:lpstr>評比系統!持股分佈_83</vt:lpstr>
      <vt:lpstr>評比系統!持股分佈_84</vt:lpstr>
      <vt:lpstr>評比系統!持股分佈_85</vt:lpstr>
      <vt:lpstr>評比系統!持股分佈_86</vt:lpstr>
      <vt:lpstr>評比系統!持股分佈_87</vt:lpstr>
      <vt:lpstr>評比系統!持股分佈_88</vt:lpstr>
      <vt:lpstr>評比系統!持股分佈_89</vt:lpstr>
      <vt:lpstr>評比系統!持股分佈_9</vt:lpstr>
      <vt:lpstr>評比系統!持股分佈_90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2016-08-15T17:23:39Z</dcterms:modified>
</cp:coreProperties>
</file>