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<sst xmlns="http://schemas.openxmlformats.org/spreadsheetml/2006/main" count="4653" uniqueCount="2062">
  <si>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</si>
  <si>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</si>
  <si>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</si>
  <si>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</si>
  <si>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</si>
  <si>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</si>
  <si>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</si>
  <si>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</si>
  <si>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</si>
  <si>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</si>
  <si>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</si>
  <si>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</si>
  <si>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</si>
  <si>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</si>
  <si>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</si>
  <si>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</si>
  <si>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</si>
  <si>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</si>
  <si>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</si>
  <si>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</si>
  <si>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</si>
  <si>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</si>
  <si>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</si>
  <si>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</si>
  <si>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</si>
  <si>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</si>
  <si>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</si>
  <si>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</si>
  <si>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</si>
  <si>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</si>
  <si>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</si>
  <si>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</si>
  <si>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</si>
  <si>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</si>
  <si>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</si>
  <si>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</si>
  <si>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</si>
  <si>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</si>
  <si>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</si>
  <si>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</si>
  <si>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</si>
  <si>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</si>
  <si>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</si>
  <si>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</si>
  <si>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</si>
  <si>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</si>
  <si>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</si>
  <si>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</si>
  <si>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</si>
  <si>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</si>
  <si>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</si>
  <si>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</si>
  <si>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</si>
  <si>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</si>
  <si>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</si>
  <si>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</si>
  <si>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</si>
  <si>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</si>
  <si>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</si>
  <si>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</si>
  <si>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</si>
  <si>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</si>
  <si>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</si>
  <si>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</si>
  <si>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</si>
  <si>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</si>
  <si>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</si>
  <si>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</si>
  <si>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</si>
  <si>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</si>
  <si>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</si>
  <si>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</si>
  <si>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</si>
  <si>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</si>
  <si>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</si>
  <si>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</si>
  <si>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</si>
  <si>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</si>
  <si>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</si>
  <si>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</si>
  <si>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</si>
  <si>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</si>
  <si>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</si>
  <si>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</si>
  <si>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</si>
  <si>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</si>
  <si>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</si>
  <si>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</si>
  <si>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</si>
  <si>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</si>
  <si>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</si>
  <si>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</si>
  <si>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</si>
  <si>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</si>
  <si>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</si>
  <si>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</si>
  <si>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</si>
  <si>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</si>
  <si>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</si>
  <si>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</si>
  <si>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</si>
  <si>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</si>
  <si>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</si>
  <si>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</si>
  <si>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</si>
  <si>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</si>
  <si>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</si>
  <si>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</si>
  <si>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</si>
  <si>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</si>
  <si>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</si>
  <si>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</si>
  <si>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</si>
  <si>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</si>
  <si>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</si>
  <si>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</si>
  <si>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</si>
  <si>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</si>
  <si>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</si>
  <si>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</si>
  <si>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</si>
  <si>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</si>
  <si>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</si>
  <si>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</si>
  <si>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</si>
  <si>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</si>
  <si>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</si>
  <si>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</si>
  <si>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</si>
  <si>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</si>
  <si>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</si>
  <si>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</si>
  <si>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</si>
  <si>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</si>
  <si>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</si>
  <si>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</si>
  <si>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</si>
  <si>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</si>
  <si>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</si>
  <si>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</si>
  <si>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</si>
  <si>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</si>
  <si>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</si>
  <si>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</si>
  <si>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</si>
  <si>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</si>
  <si>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</si>
  <si>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</si>
  <si>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</si>
  <si>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</si>
  <si>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</si>
  <si>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</si>
  <si>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</si>
  <si>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</si>
  <si>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</si>
  <si>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</si>
  <si>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</si>
  <si>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</si>
  <si>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</si>
  <si>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</si>
  <si>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</si>
  <si>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</si>
  <si>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</si>
  <si>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</si>
  <si>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</si>
  <si>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</si>
  <si>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</si>
  <si>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</si>
  <si>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</si>
  <si>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</si>
  <si>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</si>
  <si>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</si>
  <si>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</si>
  <si>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</si>
  <si>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</si>
  <si>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</si>
  <si>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</si>
  <si>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</si>
  <si>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</si>
  <si>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</si>
  <si>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</si>
  <si>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</si>
  <si>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</si>
  <si>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</si>
  <si>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</si>
  <si>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</si>
  <si>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</si>
  <si>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</si>
  <si>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</si>
  <si>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</si>
  <si>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</si>
  <si>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</si>
  <si>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</si>
  <si>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</si>
  <si>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</si>
  <si>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</si>
  <si>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</si>
  <si>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</si>
  <si>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</si>
  <si>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</si>
  <si>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</si>
  <si>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</si>
  <si>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</si>
  <si>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</si>
  <si>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</si>
  <si>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</si>
  <si>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</si>
  <si>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</si>
  <si>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</si>
  <si>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</si>
  <si>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</si>
  <si>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</si>
  <si>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</si>
  <si>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</si>
  <si>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</si>
  <si>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</si>
  <si>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</si>
  <si>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</si>
  <si>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</si>
  <si>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</si>
  <si>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</si>
  <si>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</si>
  <si>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</si>
  <si>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</si>
  <si>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</si>
  <si>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</si>
  <si>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</si>
  <si>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</si>
  <si>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</si>
  <si>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</si>
  <si>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</si>
  <si>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</si>
  <si>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</si>
  <si>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</si>
  <si>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</si>
  <si>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</si>
  <si>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</si>
  <si>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</si>
  <si>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</si>
  <si>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</si>
  <si>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</si>
  <si>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</si>
  <si>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</si>
  <si>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</si>
  <si>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</si>
  <si>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</si>
  <si>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</si>
  <si>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</si>
  <si>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</si>
  <si>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</si>
  <si>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</si>
  <si>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</si>
  <si>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</si>
  <si>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</si>
  <si>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</si>
  <si>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</si>
  <si>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</si>
  <si>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</si>
  <si>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</si>
  <si>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</si>
  <si>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</si>
  <si>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</si>
  <si>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</si>
  <si>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</si>
  <si>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</si>
  <si>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</si>
  <si>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</si>
  <si>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</si>
  <si>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</si>
  <si>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</si>
  <si>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</si>
  <si>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</si>
  <si>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</si>
  <si>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</si>
  <si>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</si>
  <si>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</si>
  <si>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</si>
  <si>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</si>
  <si>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</si>
  <si>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</si>
  <si>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</si>
  <si>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</si>
  <si>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</si>
  <si>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</si>
  <si>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</si>
  <si>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</si>
  <si>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</si>
  <si>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</si>
  <si>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</si>
  <si>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</si>
  <si>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</si>
  <si>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</si>
  <si>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</si>
  <si>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</si>
  <si>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</si>
  <si>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</si>
  <si>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</si>
  <si>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</si>
  <si>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</si>
  <si>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</si>
  <si>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</si>
  <si>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</si>
  <si>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</si>
  <si>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</si>
  <si>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</si>
  <si>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</si>
  <si>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</si>
  <si>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</si>
  <si>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</si>
  <si>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</si>
  <si>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</si>
  <si>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</si>
  <si>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</si>
  <si>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</si>
  <si>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</si>
  <si>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</si>
  <si>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</si>
  <si>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</si>
  <si>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</si>
  <si>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</si>
  <si>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</si>
  <si>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</si>
  <si>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</si>
  <si>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</si>
  <si>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</si>
  <si>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</si>
  <si>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</si>
  <si>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</si>
  <si>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</si>
  <si>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</si>
  <si>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</si>
  <si>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</si>
  <si>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</si>
  <si>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</si>
  <si>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</si>
  <si>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</si>
  <si>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</si>
  <si>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</si>
  <si>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</si>
  <si>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</si>
  <si>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</si>
  <si>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</si>
  <si>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</si>
  <si>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</si>
  <si>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</si>
  <si>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</si>
  <si>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</si>
  <si>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</si>
  <si>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</si>
  <si>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</si>
  <si>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</si>
  <si>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</si>
  <si>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</si>
  <si>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</si>
  <si>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</si>
  <si>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</si>
  <si>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</si>
  <si>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</si>
  <si>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</si>
  <si>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</si>
  <si>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</si>
  <si>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</si>
  <si>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</si>
  <si>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</si>
  <si>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</si>
  <si>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</si>
  <si>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</si>
  <si>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</si>
  <si>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</si>
  <si>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</si>
  <si>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</si>
  <si>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</si>
  <si>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</si>
  <si>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</si>
  <si>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</si>
  <si>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</si>
  <si>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</si>
  <si>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</si>
  <si>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</si>
  <si>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</si>
  <si>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</si>
  <si>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</si>
  <si>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</si>
  <si>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</si>
  <si>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</si>
  <si>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</si>
  <si>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</si>
  <si>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</si>
  <si>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</si>
  <si>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</si>
  <si>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</si>
  <si>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</si>
  <si>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</si>
  <si>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</si>
  <si>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</si>
  <si>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</si>
  <si>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</si>
  <si>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</si>
  <si>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</si>
  <si>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</si>
  <si>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</si>
  <si>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</si>
  <si>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</si>
  <si>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</si>
  <si>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</si>
  <si>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</si>
  <si>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</si>
  <si>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</si>
  <si>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</si>
  <si>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</si>
  <si>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</si>
  <si>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</si>
  <si>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</si>
  <si>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</si>
  <si>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</si>
  <si>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</si>
  <si>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</si>
  <si>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</si>
  <si>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</si>
  <si>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</si>
  <si>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</si>
  <si>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</si>
  <si>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</si>
  <si>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</si>
  <si>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</si>
  <si>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</si>
  <si>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</si>
  <si>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</si>
  <si>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</si>
  <si>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</si>
  <si>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</si>
  <si>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</si>
  <si>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</si>
  <si>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</si>
  <si>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</si>
  <si>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</si>
  <si>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</si>
  <si>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</si>
  <si>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</si>
  <si>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</si>
  <si>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</si>
  <si>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</si>
  <si>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</si>
  <si>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</si>
  <si>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</si>
  <si>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</si>
  <si>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</si>
  <si>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</si>
  <si>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</si>
  <si>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</si>
  <si>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</si>
  <si>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</si>
  <si>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</si>
  <si>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</si>
  <si>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</si>
  <si>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</si>
  <si>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</si>
  <si>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</si>
  <si>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</si>
  <si>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</si>
  <si>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</si>
  <si>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</si>
  <si>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</si>
  <si>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</si>
  <si>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</si>
  <si>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</si>
  <si>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</si>
  <si>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</si>
  <si>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</si>
  <si>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</si>
  <si>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</si>
  <si>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</si>
  <si>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</si>
  <si>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</si>
  <si>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</si>
  <si>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</si>
  <si>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</si>
  <si>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</si>
  <si>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</si>
  <si>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</si>
  <si>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</si>
  <si>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</si>
  <si>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</si>
  <si>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</si>
  <si>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</si>
  <si>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</si>
  <si>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</si>
  <si>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</si>
  <si>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</si>
  <si>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</si>
  <si>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</si>
  <si>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</si>
  <si>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</si>
  <si>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</si>
  <si>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</si>
  <si>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</si>
  <si>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</si>
  <si>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</si>
  <si>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</si>
  <si>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</si>
  <si>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</si>
  <si>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</si>
  <si>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</si>
  <si>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</si>
  <si>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</si>
  <si>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</si>
  <si>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</si>
  <si>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</si>
  <si>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</si>
  <si>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</si>
  <si>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</si>
  <si>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</si>
  <si>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</si>
  <si>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</si>
  <si>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</si>
  <si>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</si>
  <si>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</si>
  <si>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</si>
  <si>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</si>
  <si>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</si>
  <si>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</si>
  <si>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</si>
  <si>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</si>
  <si>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</si>
  <si>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</si>
  <si>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</si>
  <si>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</si>
  <si>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</si>
  <si>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</si>
  <si>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</si>
  <si>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</si>
  <si>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</si>
  <si>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</si>
  <si>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</si>
  <si>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</si>
  <si>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</si>
  <si>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</si>
  <si>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</si>
  <si>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</si>
  <si>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</si>
  <si>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</si>
  <si>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</si>
  <si>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</si>
  <si>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</si>
  <si>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</si>
  <si>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</si>
  <si>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</si>
  <si>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</si>
  <si>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</si>
  <si>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</si>
  <si>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</si>
  <si>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</si>
  <si>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</si>
  <si>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</si>
  <si>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</si>
  <si>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</si>
  <si>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</si>
  <si>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</si>
  <si>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</si>
  <si>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</si>
  <si>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</si>
  <si>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</si>
  <si>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</si>
  <si>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</si>
  <si>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</si>
  <si>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</si>
  <si>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</si>
  <si>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</si>
  <si>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</si>
  <si>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</si>
  <si>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</si>
  <si>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</si>
  <si>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</si>
  <si>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</si>
  <si>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</si>
  <si>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</si>
  <si>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</si>
  <si>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</si>
  <si>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</si>
  <si>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</si>
  <si>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</si>
  <si>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</si>
  <si>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</si>
  <si>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</si>
  <si>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</si>
  <si>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</si>
  <si>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</si>
  <si>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</si>
  <si>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</si>
  <si>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</si>
  <si>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</si>
  <si>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</si>
  <si>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</si>
  <si>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</si>
  <si>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</si>
  <si>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</si>
  <si>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</si>
  <si>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</si>
  <si>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</si>
  <si>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</si>
  <si>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</si>
  <si>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</si>
  <si>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</si>
  <si>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</si>
  <si>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</si>
  <si>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</si>
  <si>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</si>
  <si>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</si>
  <si>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</si>
  <si>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</si>
  <si>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</si>
  <si>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</si>
  <si>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</si>
  <si>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</si>
  <si>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</si>
  <si>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</si>
  <si>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</si>
  <si>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</si>
  <si>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</si>
  <si>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</si>
  <si>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</si>
  <si>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</si>
  <si>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</si>
  <si>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</si>
  <si>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</si>
  <si>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</si>
  <si>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</si>
  <si>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</si>
  <si>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</si>
  <si>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</si>
  <si>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</si>
  <si>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</si>
  <si>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</si>
  <si>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</si>
  <si>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</si>
  <si>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</si>
  <si>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</si>
  <si>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</si>
  <si>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</si>
  <si>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</si>
  <si>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</si>
  <si>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</si>
  <si>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</si>
  <si>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</si>
  <si>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</si>
  <si>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</si>
  <si>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</si>
  <si>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</si>
  <si>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</si>
  <si>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</si>
  <si>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</si>
  <si>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</si>
  <si>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</si>
  <si>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</si>
  <si>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</si>
  <si>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</si>
  <si>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</si>
  <si>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</si>
  <si>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</si>
  <si>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</si>
  <si>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</si>
  <si>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</si>
  <si>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</si>
  <si>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</si>
  <si>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</si>
  <si>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</si>
  <si>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</si>
  <si>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</si>
  <si>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</si>
  <si>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</si>
  <si>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</si>
  <si>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</si>
  <si>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</si>
  <si>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</si>
  <si>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</si>
  <si>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</si>
  <si>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</si>
  <si>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</si>
  <si>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</si>
  <si>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</si>
  <si>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</si>
  <si>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</si>
  <si>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</si>
  <si>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</si>
  <si>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</si>
  <si>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</si>
  <si>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</si>
  <si>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</si>
  <si>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</si>
  <si>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</si>
  <si>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</si>
  <si>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</si>
  <si>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</si>
  <si>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</si>
  <si>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</si>
  <si>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</si>
  <si>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</si>
  <si>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</si>
  <si>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</si>
  <si>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</si>
  <si>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</si>
  <si>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</si>
  <si>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</si>
  <si>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</si>
  <si>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</si>
  <si>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</si>
  <si>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</si>
  <si>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</si>
  <si>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</si>
  <si>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</si>
  <si>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</si>
  <si>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</si>
  <si>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</si>
  <si>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</si>
  <si>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</si>
  <si>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</si>
  <si>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</si>
  <si>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</si>
  <si>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</si>
  <si>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</si>
  <si>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</si>
  <si>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</si>
  <si>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</si>
  <si>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</si>
  <si>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</si>
  <si>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</si>
  <si>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</si>
  <si>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</si>
  <si>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</si>
  <si>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</si>
  <si>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</si>
  <si>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</si>
  <si>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</si>
  <si>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</si>
  <si>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</si>
  <si>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</si>
  <si>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</si>
  <si>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</si>
  <si>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</si>
  <si>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</si>
  <si>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</si>
  <si>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</si>
  <si>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</si>
  <si>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</si>
  <si>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</si>
  <si>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</si>
  <si>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</si>
  <si>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</si>
  <si>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</si>
  <si>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</si>
  <si>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</si>
  <si>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</si>
  <si>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</si>
  <si>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</si>
  <si>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</si>
  <si>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</si>
  <si>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</si>
  <si>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</si>
  <si>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</si>
  <si>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</si>
  <si>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</si>
  <si>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</si>
  <si>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</si>
  <si>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</si>
  <si>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</si>
  <si>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</si>
  <si>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</si>
  <si>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</si>
  <si>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</si>
  <si>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</si>
  <si>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</si>
  <si>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</si>
  <si>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</si>
  <si>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</si>
  <si>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</si>
  <si>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</si>
  <si>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</si>
  <si>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</si>
  <si>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</si>
  <si>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</si>
  <si>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</si>
  <si>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</si>
  <si>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</si>
  <si>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</si>
  <si>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</si>
  <si>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</si>
  <si>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</si>
  <si>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</si>
  <si>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</si>
  <si>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</si>
  <si>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</si>
  <si>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</si>
  <si>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</si>
  <si>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</si>
  <si>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</si>
  <si>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</si>
  <si>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</si>
  <si>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</si>
  <si>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</si>
  <si>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</si>
  <si>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</si>
  <si>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</si>
  <si>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</si>
  <si>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</si>
  <si>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</si>
  <si>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</si>
  <si>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</si>
  <si>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</si>
  <si>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</si>
  <si>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</si>
  <si>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</si>
  <si>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</si>
  <si>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</si>
  <si>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</si>
  <si>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</si>
  <si>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</si>
  <si>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</si>
  <si>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</si>
  <si>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</si>
  <si>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</si>
  <si>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</si>
  <si>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</si>
  <si>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</si>
  <si>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</si>
  <si>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</si>
  <si>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</si>
  <si>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</si>
  <si>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</si>
  <si>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</si>
  <si>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</si>
  <si>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</si>
  <si>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</si>
  <si>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</si>
  <si>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</si>
  <si>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</si>
  <si>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</si>
  <si>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</si>
  <si>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</si>
  <si>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</si>
  <si>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</si>
  <si>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</si>
  <si>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</si>
  <si>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</si>
  <si>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</si>
  <si>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</si>
  <si>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</si>
  <si>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</si>
  <si>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</si>
  <si>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</si>
  <si>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</si>
  <si>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</si>
  <si>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</si>
  <si>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</si>
  <si>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</si>
  <si>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</si>
  <si>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</si>
  <si>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</si>
  <si>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</si>
  <si>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</si>
  <si>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</si>
  <si>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</si>
  <si>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</si>
  <si>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</si>
  <si>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</si>
  <si>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</si>
  <si>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</si>
  <si>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</si>
  <si>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</si>
  <si>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</si>
  <si>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</si>
  <si>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</si>
  <si>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</si>
  <si>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</si>
  <si>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</si>
  <si>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</si>
  <si>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</si>
  <si>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</si>
  <si>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</si>
  <si>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</si>
  <si>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</si>
  <si>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</si>
  <si>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</si>
  <si>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</si>
  <si>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</si>
  <si>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</si>
  <si>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</si>
  <si>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</si>
  <si>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</si>
  <si>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</si>
  <si>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</si>
  <si>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</si>
  <si>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</si>
  <si>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</si>
  <si>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</si>
  <si>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</si>
  <si>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</si>
  <si>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</si>
  <si>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</si>
  <si>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</si>
  <si>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</si>
  <si>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</si>
  <si>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</si>
  <si>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</si>
  <si>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</si>
  <si>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</si>
  <si>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</si>
  <si>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</si>
  <si>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</si>
  <si>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</si>
  <si>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</si>
  <si>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</si>
  <si>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</si>
  <si>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</si>
  <si>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</si>
  <si>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</si>
  <si>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</si>
  <si>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</si>
  <si>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</si>
  <si>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</si>
  <si>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</si>
  <si>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</si>
  <si>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</si>
  <si>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</si>
  <si>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</si>
  <si>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</si>
  <si>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</si>
  <si>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</si>
  <si>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</si>
  <si>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</si>
  <si>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</si>
  <si>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</si>
  <si>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</si>
  <si>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</si>
  <si>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</si>
  <si>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</si>
  <si>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</si>
  <si>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</si>
  <si>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</si>
  <si>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</si>
  <si>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</si>
  <si>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</si>
  <si>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</si>
  <si>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</si>
  <si>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</si>
  <si>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</si>
  <si>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</si>
  <si>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</si>
  <si>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</si>
  <si>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</si>
  <si>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</si>
  <si>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</si>
  <si>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</si>
  <si>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</si>
  <si>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</si>
  <si>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</si>
  <si>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</si>
  <si>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</si>
  <si>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</si>
  <si>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</si>
  <si>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</si>
  <si>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</si>
  <si>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</si>
  <si>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</si>
  <si>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</si>
  <si>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</si>
  <si>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</si>
  <si>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</si>
  <si>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</si>
  <si>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</si>
  <si>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</si>
  <si>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</si>
  <si>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</si>
  <si>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</si>
  <si>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</si>
  <si>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</si>
  <si>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</si>
  <si>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</si>
  <si>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</si>
  <si>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</si>
  <si>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</si>
  <si>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</si>
  <si>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</si>
  <si>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</si>
  <si>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</si>
  <si>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</si>
  <si>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</si>
  <si>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</si>
  <si>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</si>
  <si>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</si>
  <si>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</si>
  <si>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</si>
  <si>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</si>
  <si>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</si>
  <si>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</si>
  <si>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</si>
  <si>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</si>
  <si>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</si>
  <si>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</si>
  <si>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</si>
  <si>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</si>
  <si>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</si>
  <si>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</si>
  <si>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</si>
  <si>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</si>
  <si>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</si>
  <si>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</si>
  <si>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</si>
  <si>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</si>
  <si>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</si>
  <si>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</si>
  <si>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</si>
  <si>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</si>
  <si>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</si>
  <si>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</si>
  <si>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</si>
  <si>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</si>
  <si>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</si>
  <si>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</si>
  <si>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</si>
  <si>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</si>
  <si>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</si>
  <si>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</si>
  <si>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</si>
  <si>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</si>
  <si>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</si>
  <si>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</si>
  <si>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</si>
  <si>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</si>
  <si>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</si>
  <si>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</si>
  <si>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</si>
  <si>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</si>
  <si>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</si>
  <si>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</si>
  <si>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</si>
  <si>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</si>
  <si>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</si>
  <si>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</si>
  <si>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</si>
  <si>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</si>
  <si>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</si>
  <si>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</si>
  <si>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</si>
  <si>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</si>
  <si>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</si>
  <si>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</si>
  <si>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</si>
  <si>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</si>
  <si>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</si>
  <si>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</si>
  <si>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</si>
  <si>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</si>
  <si>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</si>
  <si>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</si>
  <si>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</si>
  <si>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</si>
  <si>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</si>
  <si>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</si>
  <si>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</si>
  <si>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</si>
  <si>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</si>
  <si>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</si>
  <si>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</si>
  <si>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</si>
  <si>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</si>
  <si>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</si>
  <si>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</si>
  <si>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</si>
  <si>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</si>
  <si>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</si>
  <si>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</si>
  <si>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</si>
  <si>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</si>
  <si>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</si>
  <si>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</si>
  <si>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</si>
  <si>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</si>
  <si>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</si>
  <si>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</si>
  <si>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</si>
  <si>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</si>
  <si>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</si>
  <si>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</si>
  <si>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</si>
  <si>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</si>
  <si>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</si>
  <si>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</si>
  <si>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</si>
  <si>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</si>
  <si>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</si>
  <si>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</si>
  <si>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</si>
  <si>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</si>
  <si>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</si>
  <si>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</si>
  <si>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</si>
  <si>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</si>
  <si>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</si>
  <si>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</si>
  <si>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</si>
  <si>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</si>
  <si>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</si>
  <si>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</si>
  <si>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</si>
  <si>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</si>
  <si>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</si>
  <si>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</si>
  <si>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</si>
  <si>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</si>
  <si>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</si>
  <si>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</si>
  <si>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</si>
  <si>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</si>
  <si>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</si>
  <si>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</si>
  <si>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</si>
  <si>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</si>
  <si>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</si>
  <si>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</si>
  <si>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</si>
  <si>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</si>
  <si>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</si>
  <si>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</si>
  <si>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</si>
  <si>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</si>
  <si>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</si>
  <si>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</si>
  <si>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</si>
  <si>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</si>
  <si>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</si>
  <si>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</si>
  <si>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</si>
  <si>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</si>
  <si>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</si>
  <si>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</si>
  <si>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</si>
  <si>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</si>
  <si>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</si>
  <si>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</si>
  <si>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</si>
  <si>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</si>
  <si>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</si>
  <si>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</si>
  <si>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</si>
  <si>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</si>
  <si>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</si>
  <si>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</si>
  <si>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</si>
  <si>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</si>
  <si>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</si>
  <si>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</si>
  <si>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</si>
  <si>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</si>
  <si>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</si>
  <si>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</si>
  <si>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</si>
  <si>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</si>
  <si>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</si>
  <si>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</si>
  <si>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</si>
  <si>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</si>
  <si>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</si>
  <si>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</si>
  <si>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</si>
  <si>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</si>
  <si>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</si>
  <si>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</si>
  <si>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</si>
  <si>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</si>
  <si>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</si>
  <si>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</si>
  <si>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</si>
  <si>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</si>
  <si>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</si>
  <si>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</si>
  <si>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</si>
  <si>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</si>
  <si>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</si>
  <si>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</si>
  <si>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</si>
  <si>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</si>
  <si>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</si>
  <si>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</si>
  <si>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</si>
  <si>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</si>
  <si>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</si>
  <si>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</si>
  <si>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</si>
  <si>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</si>
  <si>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</si>
  <si>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</si>
  <si>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</si>
  <si>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</si>
  <si>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</si>
  <si>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</si>
  <si>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</si>
  <si>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</si>
  <si>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</si>
  <si>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</si>
  <si>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</si>
  <si>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</si>
  <si>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</si>
  <si>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</si>
  <si>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</si>
  <si>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</si>
  <si>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</si>
  <si>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</si>
  <si>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</si>
  <si>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</si>
  <si>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</si>
  <si>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</si>
  <si>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</si>
  <si>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</si>
  <si>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</si>
  <si>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</si>
  <si>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</si>
  <si>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</si>
  <si>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</si>
  <si>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</si>
  <si>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</si>
  <si>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</si>
  <si>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</si>
  <si>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</si>
  <si>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</si>
  <si>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</si>
  <si>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</si>
  <si>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</si>
  <si>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</si>
  <si>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</si>
  <si>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</si>
  <si>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</si>
  <si>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</si>
  <si>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</si>
  <si>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</si>
  <si>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</si>
  <si>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</si>
  <si>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</si>
  <si>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</si>
  <si>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</si>
  <si>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</si>
  <si>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</si>
  <si>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</si>
  <si>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</si>
  <si>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</si>
  <si>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</si>
  <si>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</si>
  <si>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</si>
  <si>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</si>
  <si>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</si>
  <si>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</si>
  <si>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</si>
  <si>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</si>
  <si>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</si>
  <si>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</si>
  <si>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</si>
  <si>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</si>
  <si>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</si>
  <si>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</si>
  <si>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</si>
  <si>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</si>
  <si>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</si>
  <si>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</si>
  <si>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</si>
  <si>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</si>
  <si>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</si>
  <si>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</si>
  <si>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</si>
  <si>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</si>
  <si>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</si>
  <si>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</si>
  <si>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</si>
  <si>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</si>
  <si>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</si>
  <si>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</si>
  <si>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</si>
  <si>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</si>
  <si>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</si>
  <si>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</si>
  <si>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</si>
  <si>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</si>
  <si>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</si>
  <si>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</si>
  <si>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</si>
  <si>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</si>
  <si>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</si>
  <si>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</si>
  <si>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</si>
  <si>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</si>
  <si>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</si>
  <si>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</si>
  <si>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</si>
  <si>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</si>
  <si>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</si>
  <si>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</si>
  <si>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</si>
  <si>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</si>
  <si>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</si>
  <si>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</si>
  <si>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</si>
  <si>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</si>
  <si>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</si>
  <si>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</si>
  <si>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</si>
  <si>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</si>
  <si>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</si>
  <si>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</si>
  <si>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</si>
  <si>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</si>
  <si>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</si>
  <si>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</si>
  <si>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</si>
  <si>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</si>
  <si>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</si>
  <si>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</si>
  <si>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</si>
  <si>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</si>
  <si>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</si>
  <si>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</si>
  <si>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</si>
  <si>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</si>
  <si>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</si>
  <si>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</si>
  <si>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</si>
  <si>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</si>
  <si>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</si>
  <si>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</si>
  <si>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</si>
  <si>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</si>
  <si>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</si>
  <si>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</si>
  <si>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</si>
  <si>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</si>
  <si>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</si>
  <si>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</si>
  <si>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</si>
  <si>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</si>
  <si>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</si>
  <si>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</si>
  <si>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</si>
  <si>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</si>
  <si>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</si>
  <si>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</si>
  <si>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</si>
  <si>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</si>
  <si>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</si>
  <si>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</si>
  <si>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</si>
  <si>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</si>
  <si>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</si>
  <si>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</si>
  <si>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</si>
  <si>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</si>
  <si>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</si>
  <si>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</si>
  <si>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</si>
  <si>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</si>
  <si>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</si>
  <si>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</si>
  <si>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</si>
  <si>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</si>
  <si>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</si>
  <si>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</si>
  <si>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</si>
  <si>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</si>
  <si>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</si>
  <si>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</si>
  <si>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</si>
  <si>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</si>
  <si>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</si>
  <si>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</si>
  <si>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</si>
  <si>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</si>
  <si>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</si>
  <si>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</si>
  <si>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</si>
  <si>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</si>
  <si>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</si>
  <si>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</si>
  <si>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</si>
  <si>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</si>
  <si>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</si>
  <si>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</si>
  <si>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</si>
  <si>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</si>
  <si>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</si>
  <si>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</si>
  <si>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</si>
  <si>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</si>
  <si>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</si>
  <si>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</si>
  <si>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</si>
  <si>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</si>
  <si>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</si>
  <si>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</si>
  <si>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</si>
  <si>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</si>
  <si>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</si>
  <si>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</si>
  <si>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</si>
  <si>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</si>
  <si>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</si>
  <si>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</si>
  <si>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</si>
  <si>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</si>
  <si>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</si>
  <si>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</si>
  <si>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</si>
  <si>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</si>
  <si>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</si>
  <si>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</si>
  <si>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</si>
  <si>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</si>
  <si>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</si>
  <si>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</si>
  <si>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</si>
  <si>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</si>
  <si>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</si>
  <si>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</si>
  <si>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</si>
  <si>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</si>
  <si>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</si>
  <si>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</si>
  <si>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</si>
  <si>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</si>
  <si>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</si>
  <si>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</si>
  <si>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</si>
  <si>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</si>
  <si>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</si>
  <si>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</si>
  <si>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</si>
  <si>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</si>
  <si>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</si>
  <si>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</si>
  <si>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</si>
  <si>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</si>
  <si>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</si>
  <si>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</si>
  <si>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</si>
  <si>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</si>
  <si>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</si>
  <si>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</si>
  <si>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</si>
  <si>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</si>
  <si>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</si>
  <si>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</si>
  <si>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</si>
  <si>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</si>
  <si>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</si>
  <si>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</si>
  <si>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</si>
  <si>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</si>
  <si>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</si>
  <si>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</si>
  <si>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</si>
  <si>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</si>
  <si>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</si>
  <si>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</si>
  <si>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</si>
  <si>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</si>
  <si>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</si>
  <si>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</si>
  <si>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</si>
  <si>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</si>
  <si>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</si>
  <si>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</si>
  <si>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</si>
  <si>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</si>
  <si>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</si>
  <si>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</si>
  <si>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</si>
  <si>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</si>
  <si>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</si>
  <si>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</si>
  <si>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</si>
  <si>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</si>
  <si>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</si>
  <si>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</si>
  <si>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</si>
  <si>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</si>
  <si>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</si>
  <si>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</si>
  <si>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</si>
  <si>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</si>
  <si>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</si>
  <si>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</si>
  <si>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</si>
  <si>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</si>
  <si>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</si>
  <si>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</si>
  <si>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</si>
  <si>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</si>
  <si>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</si>
  <si>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</si>
  <si>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</si>
  <si>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</si>
  <si>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</si>
  <si>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</si>
  <si>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</si>
  <si>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</si>
  <si>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</si>
  <si>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</si>
  <si>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</si>
  <si>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</si>
  <si>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</si>
  <si>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</si>
  <si>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</si>
  <si>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</si>
  <si>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</si>
  <si>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</si>
  <si>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</si>
  <si>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</si>
  <si>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</si>
  <si>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</si>
  <si>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</si>
  <si>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</si>
  <si>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</si>
  <si>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</si>
  <si>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</si>
  <si>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</si>
  <si>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</si>
  <si>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</si>
  <si>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</si>
  <si>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</si>
  <si>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</si>
  <si>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</si>
  <si>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</si>
  <si>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</si>
  <si>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</si>
  <si>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</si>
  <si>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</si>
  <si>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</si>
  <si>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</si>
  <si>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</si>
  <si>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</si>
  <si>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</si>
  <si>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</si>
  <si>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</si>
  <si>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</si>
  <si>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</si>
  <si>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</si>
  <si>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</si>
  <si>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</si>
  <si>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</si>
  <si>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</si>
  <si>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</si>
  <si>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</si>
  <si>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</si>
  <si>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</si>
  <si>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</si>
  <si>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</si>
  <si>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</si>
  <si>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</si>
  <si>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</si>
  <si>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</si>
  <si>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</si>
  <si>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</si>
  <si>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</si>
  <si>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</si>
  <si>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</si>
  <si>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</si>
  <si>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</si>
  <si>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</si>
  <si>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</si>
  <si>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</si>
  <si>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</si>
  <si>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</si>
  <si>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</si>
  <si>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</si>
  <si>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</si>
  <si>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</si>
  <si>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</si>
  <si>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</si>
  <si>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</si>
  <si>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</si>
  <si>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</si>
  <si>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</si>
  <si>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</si>
  <si>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</si>
  <si>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</si>
  <si>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</si>
  <si>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</si>
  <si>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</si>
  <si>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</si>
  <si>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</si>
  <si>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</si>
  <si>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</si>
  <si>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</si>
  <si>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</si>
  <si>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</si>
  <si>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</si>
  <si>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</si>
  <si>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</si>
  <si>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</si>
  <si>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</si>
  <si>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</si>
  <si>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</si>
  <si>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</si>
  <si>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</si>
  <si>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</si>
  <si>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</si>
  <si>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</si>
  <si>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</si>
  <si>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</si>
  <si>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</si>
  <si>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</si>
  <si>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</si>
  <si>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</si>
  <si>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</si>
  <si>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</si>
  <si>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</si>
  <si>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</si>
  <si>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</si>
  <si>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</si>
  <si>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</si>
  <si>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</si>
  <si>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</si>
  <si>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</si>
  <si>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</si>
  <si>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</si>
  <si>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</si>
  <si>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</si>
  <si>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</si>
  <si>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</si>
  <si>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</si>
  <si>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</si>
  <si>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</si>
  <si>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</si>
  <si>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</si>
  <si>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</si>
  <si>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</si>
  <si>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</si>
  <si>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</si>
  <si>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</si>
  <si>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</si>
  <si>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</si>
  <si>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</si>
  <si>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</si>
  <si>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</si>
  <si>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</si>
  <si>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</si>
  <si>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</si>
  <si>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</si>
  <si>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</si>
  <si>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</si>
  <si>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</si>
  <si>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</si>
  <si>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</si>
  <si>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</si>
  <si>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</si>
  <si>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</si>
  <si>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</si>
  <si>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</si>
  <si>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</si>
  <si>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</si>
  <si>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</si>
  <si>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</si>
  <si>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</si>
  <si>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</si>
  <si>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</si>
  <si>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</si>
  <si>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</si>
  <si>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</si>
  <si>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</si>
  <si>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</si>
  <si>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</si>
  <si>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</si>
  <si>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</si>
  <si>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</si>
  <si>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</si>
  <si>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</si>
  <si>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</si>
  <si>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</si>
  <si>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</si>
  <si>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</si>
  <si>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</si>
  <si>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</si>
  <si>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</si>
  <si>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</si>
  <si>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</si>
  <si>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</si>
  <si>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</si>
  <si>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</si>
  <si>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</si>
  <si>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</si>
  <si>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</si>
  <si>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</si>
  <si>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</si>
  <si>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</si>
  <si>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</si>
  <si>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</si>
  <si>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</si>
  <si>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</si>
  <si>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</si>
  <si>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</si>
  <si>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</si>
  <si>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</si>
  <si>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</si>
  <si>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</si>
  <si>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</si>
  <si>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</si>
  <si>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</si>
  <si>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</si>
  <si>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</si>
  <si>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</si>
  <si>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</si>
  <si>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</si>
  <si>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</si>
  <si>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</si>
  <si>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</si>
  <si>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</si>
  <si>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</si>
  <si>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</si>
  <si>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</si>
  <si>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</si>
  <si>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</si>
  <si>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</si>
  <si>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</si>
  <si>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</si>
  <si>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</si>
  <si>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</si>
  <si>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</si>
  <si>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</si>
  <si>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</si>
  <si>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</si>
  <si>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</si>
  <si>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</si>
  <si>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</si>
  <si>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</si>
  <si>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</si>
  <si>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</si>
  <si>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</si>
  <si>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</si>
  <si>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</si>
  <si>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</si>
  <si>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</si>
  <si>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</si>
  <si>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</si>
  <si>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</si>
  <si>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</si>
  <si>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</si>
  <si>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</si>
  <si>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</si>
  <si>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</si>
  <si>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</si>
  <si>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</si>
  <si>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</si>
  <si>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</si>
  <si>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</si>
  <si>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</si>
  <si>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</si>
  <si>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</si>
  <si>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</si>
  <si>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</si>
  <si>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</si>
  <si>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</si>
  <si>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</si>
  <si>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</si>
  <si>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</si>
  <si>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</si>
  <si>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</si>
  <si>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</si>
  <si>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</si>
  <si>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</si>
  <si>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</si>
  <si>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</si>
  <si>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</si>
  <si>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</si>
  <si>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</si>
  <si>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</si>
  <si>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</si>
  <si>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</si>
  <si>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</si>
  <si>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</si>
  <si>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</si>
  <si>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</si>
  <si>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</si>
  <si>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</si>
  <si>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</si>
  <si>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</si>
  <si>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</si>
  <si>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</si>
  <si>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</si>
  <si>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</si>
  <si>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</si>
  <si>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</si>
  <si>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</si>
  <si>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</si>
  <si>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</si>
  <si>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</si>
  <si>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</si>
  <si>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</si>
  <si>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</si>
  <si>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</si>
  <si>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</si>
  <si>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</si>
  <si>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</si>
  <si>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</si>
  <si>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</si>
  <si>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</si>
  <si>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</si>
  <si>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</si>
  <si>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</si>
  <si>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</si>
  <si>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</si>
  <si>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</si>
  <si>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</si>
  <si>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</si>
  <si>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</si>
  <si>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</si>
  <si>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</si>
  <si>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</si>
  <si>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</si>
  <si>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</si>
  <si>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</si>
  <si>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</si>
  <si>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</si>
  <si>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</si>
  <si>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</si>
  <si>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</si>
  <si>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</si>
  <si>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</si>
  <si>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</si>
  <si>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</si>
  <si>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</si>
  <si>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</si>
  <si>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</si>
  <si>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</si>
  <si>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</si>
  <si>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</si>
  <si>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</si>
  <si>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</si>
  <si>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</si>
  <si>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</si>
  <si>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</si>
  <si>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</si>
  <si>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</si>
  <si>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</si>
  <si>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</si>
  <si>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</si>
  <si>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</si>
  <si>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</si>
  <si>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</si>
  <si>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</si>
  <si>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</si>
  <si>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</si>
  <si>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</si>
  <si>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</si>
  <si>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</si>
  <si>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</si>
  <si>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</si>
  <si>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</si>
  <si>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</si>
  <si>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</si>
  <si>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</si>
  <si>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</si>
  <si>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</si>
  <si>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</si>
  <si>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</si>
  <si>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</si>
  <si>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</si>
  <si>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</si>
  <si>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</si>
  <si>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</si>
  <si>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</si>
  <si>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</si>
  <si>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</si>
  <si>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</si>
  <si>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</si>
  <si>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</si>
  <si>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</si>
  <si>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</si>
  <si>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</si>
  <si>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</si>
  <si>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</si>
  <si>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</si>
  <si>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</si>
  <si>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</si>
  <si>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</si>
  <si>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</si>
  <si>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</si>
  <si>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</si>
  <si>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</si>
  <si>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</si>
  <si>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</si>
  <si>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</si>
  <si>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</si>
  <si>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</si>
  <si>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</si>
  <si>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</si>
  <si>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</si>
  <si>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</si>
  <si>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</si>
  <si>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</si>
  <si>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</si>
  <si>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</si>
  <si>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</si>
  <si>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</si>
  <si>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</si>
  <si>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</si>
  <si>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</si>
  <si>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</si>
  <si>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</si>
  <si>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</si>
  <si>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</si>
  <si>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</si>
  <si>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</si>
  <si>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</si>
  <si>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</si>
  <si>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</si>
  <si>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</si>
  <si>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</si>
  <si>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</si>
  <si>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</si>
  <si>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</si>
  <si>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</si>
  <si>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</si>
  <si>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</si>
  <si>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</si>
  <si>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</si>
  <si>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</si>
  <si>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</si>
  <si>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</si>
  <si>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</si>
  <si>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</si>
  <si>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</si>
  <si>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</si>
  <si>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</si>
  <si>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</si>
  <si>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</si>
  <si>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</si>
  <si>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</si>
  <si>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</si>
  <si>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</si>
  <si>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</si>
  <si>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</si>
  <si>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</si>
  <si>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</si>
  <si>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</si>
  <si>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</si>
  <si>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</si>
  <si>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</si>
  <si>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</si>
  <si>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</si>
  <si>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</si>
  <si>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</si>
  <si>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</si>
  <si>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</si>
  <si>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</si>
  <si>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</si>
  <si>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</si>
  <si>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</si>
  <si>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</si>
  <si>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</si>
  <si>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</si>
  <si>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</si>
  <si>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</si>
  <si>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</si>
  <si>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</si>
  <si>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</si>
  <si>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</si>
  <si>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</si>
  <si>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</si>
  <si>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</si>
  <si>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</si>
  <si>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</si>
  <si>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</si>
  <si>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</si>
  <si>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</si>
  <si>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</si>
  <si>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</si>
  <si>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</si>
  <si>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</si>
  <si>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</si>
  <si>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</si>
  <si>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</si>
  <si>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</si>
  <si>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</si>
  <si>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</si>
  <si>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</si>
  <si>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</si>
  <si>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</si>
  <si>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</si>
  <si>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</si>
  <si>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</si>
  <si>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</si>
  <si>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</si>
  <si>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</si>
  <si>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</si>
  <si>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</si>
  <si>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</si>
  <si>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</si>
  <si>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</si>
  <si>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</si>
  <si>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</si>
  <si>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</si>
  <si>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</si>
  <si>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</si>
  <si>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</si>
  <si>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</si>
  <si>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</si>
  <si>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</si>
  <si>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</si>
  <si>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</si>
  <si>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</si>
  <si>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</si>
  <si>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</si>
  <si>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</si>
  <si>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</si>
  <si>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</si>
  <si>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</si>
  <si>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</si>
  <si>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</si>
  <si>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</si>
  <si>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</si>
  <si>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</si>
  <si>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</si>
  <si>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</si>
  <si>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</si>
  <si>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</si>
  <si>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</si>
  <si>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</si>
  <si>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</si>
  <si>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</si>
  <si>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</si>
  <si>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</si>
  <si>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</si>
  <si>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</si>
  <si>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</si>
  <si>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</si>
  <si>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</si>
  <si>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</si>
  <si>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</si>
  <si>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</si>
  <si>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</si>
  <si>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</si>
  <si>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</si>
  <si>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</si>
  <si>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</si>
  <si>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</si>
  <si>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</si>
  <si>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</si>
  <si>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</si>
  <si>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</si>
  <si>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</si>
  <si>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</si>
  <si>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</si>
  <si>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</si>
  <si>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</si>
  <si>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</si>
  <si>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</si>
  <si>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</si>
  <si>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</si>
  <si>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</si>
  <si>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</si>
  <si>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</si>
  <si>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</si>
  <si>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1773</t>
  </si>
  <si>
    <t>勝一(1773)</t>
  </si>
  <si>
    <t>勝一（1773）</t>
  </si>
  <si>
    <t>1773勝一</t>
  </si>
  <si>
    <t xml:space="preserve">勝一(1773)      市價：40.1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</si>
</sst>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  <font>
      <sz val="12"/>
      <color rgb="FF000000"/>
      <name val="新細明體"/>
      <family val="1"/>
      <charset val="136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1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59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65" fillId="11" borderId="23" xfId="0" applyFont="1" applyFill="1" applyBorder="1" applyAlignment="1">
      <alignment horizontal="center" vertical="center"/>
    </xf>
    <xf numFmtId="0" fontId="65" fillId="11" borderId="25" xfId="0" applyFont="1" applyFill="1" applyBorder="1" applyAlignment="1">
      <alignment horizontal="center" vertical="center"/>
    </xf>
    <xf numFmtId="0" fontId="65" fillId="11" borderId="24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24" borderId="3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4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734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1719</c:v>
                </c:pt>
                <c:pt idx="1">
                  <c:v>1750</c:v>
                </c:pt>
                <c:pt idx="2">
                  <c:v>1787</c:v>
                </c:pt>
                <c:pt idx="3">
                  <c:v>1946</c:v>
                </c:pt>
                <c:pt idx="4">
                  <c:v>1801</c:v>
                </c:pt>
                <c:pt idx="5">
                  <c:v>1626</c:v>
                </c:pt>
                <c:pt idx="6">
                  <c:v>1681</c:v>
                </c:pt>
                <c:pt idx="7">
                  <c:v>1633</c:v>
                </c:pt>
              </c:numCache>
            </c:numRef>
          </c:val>
        </c:ser>
        <c:gapWidth val="125"/>
        <c:axId val="133296512"/>
        <c:axId val="133298048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0.18091913903432227</c:v>
                </c:pt>
                <c:pt idx="1">
                  <c:v>0.15028571428571427</c:v>
                </c:pt>
                <c:pt idx="2">
                  <c:v>0.15948517067711249</c:v>
                </c:pt>
                <c:pt idx="3">
                  <c:v>0.17728674203494346</c:v>
                </c:pt>
                <c:pt idx="4">
                  <c:v>0.15769017212659633</c:v>
                </c:pt>
                <c:pt idx="5">
                  <c:v>0.19249692496924969</c:v>
                </c:pt>
                <c:pt idx="6">
                  <c:v>0.21296847114812612</c:v>
                </c:pt>
                <c:pt idx="7">
                  <c:v>0.18493570116350275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7.6788830715532289E-2</c:v>
                </c:pt>
                <c:pt idx="1">
                  <c:v>7.0285714285714285E-2</c:v>
                </c:pt>
                <c:pt idx="2">
                  <c:v>6.4353665360940129E-2</c:v>
                </c:pt>
                <c:pt idx="3">
                  <c:v>7.8108941418293942E-2</c:v>
                </c:pt>
                <c:pt idx="4">
                  <c:v>7.4403109383675739E-2</c:v>
                </c:pt>
                <c:pt idx="5">
                  <c:v>8.3640836408364089E-2</c:v>
                </c:pt>
                <c:pt idx="6">
                  <c:v>9.1017251635930996E-2</c:v>
                </c:pt>
                <c:pt idx="7">
                  <c:v>9.7979179424372315E-2</c:v>
                </c:pt>
              </c:numCache>
            </c:numRef>
          </c:val>
          <c:smooth val="1"/>
        </c:ser>
        <c:marker val="1"/>
        <c:axId val="141100160"/>
        <c:axId val="133299584"/>
      </c:lineChart>
      <c:catAx>
        <c:axId val="13329651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33298048"/>
        <c:crosses val="autoZero"/>
        <c:auto val="1"/>
        <c:lblAlgn val="ctr"/>
        <c:lblOffset val="100"/>
      </c:catAx>
      <c:valAx>
        <c:axId val="13329804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3296512"/>
        <c:crosses val="autoZero"/>
        <c:crossBetween val="between"/>
      </c:valAx>
      <c:valAx>
        <c:axId val="13329958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1100160"/>
        <c:crosses val="max"/>
        <c:crossBetween val="between"/>
      </c:valAx>
      <c:catAx>
        <c:axId val="141100160"/>
        <c:scaling>
          <c:orientation val="minMax"/>
        </c:scaling>
        <c:delete val="1"/>
        <c:axPos val="b"/>
        <c:tickLblPos val="none"/>
        <c:crossAx val="13329958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33"/>
          <c:y val="6.1852578105156222E-2"/>
          <c:w val="0.73786606461091042"/>
          <c:h val="0.88229882850009711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56.575000000000003</c:v>
                </c:pt>
                <c:pt idx="1">
                  <c:v>56.575000000000003</c:v>
                </c:pt>
                <c:pt idx="2">
                  <c:v>55.148293228875211</c:v>
                </c:pt>
                <c:pt idx="3">
                  <c:v>52.28353031860226</c:v>
                </c:pt>
                <c:pt idx="4">
                  <c:v>55.023598001110493</c:v>
                </c:pt>
                <c:pt idx="5">
                  <c:v>55.024984624846248</c:v>
                </c:pt>
                <c:pt idx="6">
                  <c:v>50.483343248066625</c:v>
                </c:pt>
                <c:pt idx="7">
                  <c:v>53.028934476423757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58.481002017484869</c:v>
                </c:pt>
                <c:pt idx="1">
                  <c:v>58.481002017484869</c:v>
                </c:pt>
                <c:pt idx="2">
                  <c:v>56.833804926764316</c:v>
                </c:pt>
                <c:pt idx="3">
                  <c:v>53.661383510306059</c:v>
                </c:pt>
                <c:pt idx="4">
                  <c:v>55.128955174686887</c:v>
                </c:pt>
                <c:pt idx="5">
                  <c:v>59.802456207159182</c:v>
                </c:pt>
                <c:pt idx="6">
                  <c:v>57.315759637188208</c:v>
                </c:pt>
                <c:pt idx="7">
                  <c:v>52.720698722764837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24.638113651647611</c:v>
                </c:pt>
                <c:pt idx="1">
                  <c:v>24.638113651647611</c:v>
                </c:pt>
                <c:pt idx="2">
                  <c:v>23.420023302263647</c:v>
                </c:pt>
                <c:pt idx="3">
                  <c:v>25.249063085571517</c:v>
                </c:pt>
                <c:pt idx="4">
                  <c:v>27.098302570863549</c:v>
                </c:pt>
                <c:pt idx="5">
                  <c:v>31.169554455445542</c:v>
                </c:pt>
                <c:pt idx="6">
                  <c:v>31.10638699924414</c:v>
                </c:pt>
                <c:pt idx="7">
                  <c:v>27.217317806160782</c:v>
                </c:pt>
              </c:numCache>
            </c:numRef>
          </c:val>
          <c:smooth val="1"/>
        </c:ser>
        <c:marker val="1"/>
        <c:axId val="141161600"/>
        <c:axId val="141163136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41252480"/>
        <c:axId val="141250944"/>
      </c:lineChart>
      <c:catAx>
        <c:axId val="14116160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1163136"/>
        <c:crosses val="autoZero"/>
        <c:auto val="1"/>
        <c:lblAlgn val="ctr"/>
        <c:lblOffset val="100"/>
      </c:catAx>
      <c:valAx>
        <c:axId val="141163136"/>
        <c:scaling>
          <c:orientation val="minMax"/>
          <c:max val="72.762947448591021"/>
          <c:min val="17.736018641810919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1161600"/>
        <c:crosses val="autoZero"/>
        <c:crossBetween val="between"/>
      </c:valAx>
      <c:valAx>
        <c:axId val="14125094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1252480"/>
        <c:crosses val="max"/>
        <c:crossBetween val="between"/>
      </c:valAx>
      <c:catAx>
        <c:axId val="141252480"/>
        <c:scaling>
          <c:orientation val="minMax"/>
        </c:scaling>
        <c:delete val="1"/>
        <c:axPos val="b"/>
        <c:tickLblPos val="none"/>
        <c:crossAx val="14125094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528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82</c:v>
                </c:pt>
                <c:pt idx="1">
                  <c:v>125</c:v>
                </c:pt>
                <c:pt idx="2">
                  <c:v>157</c:v>
                </c:pt>
                <c:pt idx="3">
                  <c:v>277</c:v>
                </c:pt>
                <c:pt idx="4">
                  <c:v>272</c:v>
                </c:pt>
                <c:pt idx="5">
                  <c:v>467</c:v>
                </c:pt>
                <c:pt idx="6">
                  <c:v>44</c:v>
                </c:pt>
                <c:pt idx="7">
                  <c:v>305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35</c:v>
                </c:pt>
                <c:pt idx="1">
                  <c:v>55</c:v>
                </c:pt>
                <c:pt idx="2">
                  <c:v>86</c:v>
                </c:pt>
                <c:pt idx="3">
                  <c:v>191</c:v>
                </c:pt>
                <c:pt idx="4">
                  <c:v>198</c:v>
                </c:pt>
                <c:pt idx="5">
                  <c:v>425</c:v>
                </c:pt>
                <c:pt idx="6">
                  <c:v>5</c:v>
                </c:pt>
                <c:pt idx="7">
                  <c:v>273</c:v>
                </c:pt>
              </c:numCache>
            </c:numRef>
          </c:val>
        </c:ser>
        <c:gapWidth val="100"/>
        <c:axId val="141275520"/>
        <c:axId val="141277056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0.28890678477954501</c:v>
                </c:pt>
                <c:pt idx="1">
                  <c:v>0.26063183475091128</c:v>
                </c:pt>
                <c:pt idx="2">
                  <c:v>0.29512836062259956</c:v>
                </c:pt>
                <c:pt idx="3">
                  <c:v>0.28423317683881066</c:v>
                </c:pt>
                <c:pt idx="4">
                  <c:v>0.2372745490981964</c:v>
                </c:pt>
                <c:pt idx="5">
                  <c:v>0.21695859872611464</c:v>
                </c:pt>
                <c:pt idx="6">
                  <c:v>0.27578078962875663</c:v>
                </c:pt>
                <c:pt idx="7">
                  <c:v>0.22070351758793968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41284480"/>
        <c:axId val="141278592"/>
      </c:lineChart>
      <c:catAx>
        <c:axId val="14127552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1277056"/>
        <c:crosses val="autoZero"/>
        <c:auto val="1"/>
        <c:lblAlgn val="ctr"/>
        <c:lblOffset val="100"/>
      </c:catAx>
      <c:valAx>
        <c:axId val="14127705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1275520"/>
        <c:crosses val="autoZero"/>
        <c:crossBetween val="between"/>
      </c:valAx>
      <c:valAx>
        <c:axId val="141278592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1284480"/>
        <c:crosses val="max"/>
        <c:crossBetween val="between"/>
      </c:valAx>
      <c:catAx>
        <c:axId val="141284480"/>
        <c:scaling>
          <c:orientation val="minMax"/>
        </c:scaling>
        <c:delete val="1"/>
        <c:axPos val="b"/>
        <c:tickLblPos val="none"/>
        <c:crossAx val="14127859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51"/>
          <c:y val="6.3932132322468985E-2"/>
          <c:w val="0.74659195050210392"/>
          <c:h val="0.87328441529948253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141488512"/>
        <c:axId val="141486720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1.0162601626016261</c:v>
                </c:pt>
                <c:pt idx="2">
                  <c:v>1.3652173913043477</c:v>
                </c:pt>
                <c:pt idx="3">
                  <c:v>1.8223684210526316</c:v>
                </c:pt>
                <c:pt idx="4">
                  <c:v>2.0298507462686568</c:v>
                </c:pt>
                <c:pt idx="5">
                  <c:v>3.4338235294117645</c:v>
                </c:pt>
                <c:pt idx="6">
                  <c:v>0</c:v>
                </c:pt>
                <c:pt idx="7">
                  <c:v>1.90625</c:v>
                </c:pt>
              </c:numCache>
            </c:numRef>
          </c:val>
        </c:ser>
        <c:gapWidth val="125"/>
        <c:axId val="141462912"/>
        <c:axId val="141485184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6.7825591336563129E-2</c:v>
                </c:pt>
                <c:pt idx="2">
                  <c:v>6.7825591336563129E-2</c:v>
                </c:pt>
                <c:pt idx="3">
                  <c:v>7.2322670375521564E-2</c:v>
                </c:pt>
                <c:pt idx="4">
                  <c:v>7.1418836036527197E-2</c:v>
                </c:pt>
                <c:pt idx="5">
                  <c:v>7.0788294226206167E-2</c:v>
                </c:pt>
                <c:pt idx="6">
                  <c:v>8.0150543629774182E-2</c:v>
                </c:pt>
                <c:pt idx="7">
                  <c:v>7.7361995753715496E-2</c:v>
                </c:pt>
              </c:numCache>
            </c:numRef>
          </c:val>
          <c:smooth val="1"/>
        </c:ser>
        <c:marker val="1"/>
        <c:axId val="141488512"/>
        <c:axId val="141486720"/>
      </c:lineChart>
      <c:catAx>
        <c:axId val="14146291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1485184"/>
        <c:crosses val="autoZero"/>
        <c:auto val="1"/>
        <c:lblAlgn val="ctr"/>
        <c:lblOffset val="100"/>
      </c:catAx>
      <c:valAx>
        <c:axId val="141485184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1462912"/>
        <c:crosses val="autoZero"/>
        <c:crossBetween val="between"/>
      </c:valAx>
      <c:valAx>
        <c:axId val="141486720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1488512"/>
        <c:crosses val="max"/>
        <c:crossBetween val="between"/>
      </c:valAx>
      <c:catAx>
        <c:axId val="141488512"/>
        <c:scaling>
          <c:orientation val="minMax"/>
        </c:scaling>
        <c:delete val="1"/>
        <c:axPos val="b"/>
        <c:tickLblPos val="none"/>
        <c:crossAx val="14148672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44" l="0.70000000000000062" r="0.70000000000000062" t="0.750000000000002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2"/>
          <c:y val="3.1301940054012739E-2"/>
          <c:w val="0.7582483948884039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47</c:v>
                </c:pt>
                <c:pt idx="1">
                  <c:v>70</c:v>
                </c:pt>
                <c:pt idx="2">
                  <c:v>71</c:v>
                </c:pt>
                <c:pt idx="3">
                  <c:v>86</c:v>
                </c:pt>
                <c:pt idx="4">
                  <c:v>74</c:v>
                </c:pt>
                <c:pt idx="5">
                  <c:v>42</c:v>
                </c:pt>
                <c:pt idx="6">
                  <c:v>39</c:v>
                </c:pt>
                <c:pt idx="7">
                  <c:v>32</c:v>
                </c:pt>
              </c:numCache>
            </c:numRef>
          </c:val>
        </c:ser>
        <c:axId val="141533184"/>
        <c:axId val="141534720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141533184"/>
        <c:axId val="141534720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2.9829545454545456E-2</c:v>
                </c:pt>
                <c:pt idx="1">
                  <c:v>2.9589778076664425E-2</c:v>
                </c:pt>
                <c:pt idx="2">
                  <c:v>2.9960053262316912E-2</c:v>
                </c:pt>
                <c:pt idx="3">
                  <c:v>2.8107432854465958E-2</c:v>
                </c:pt>
                <c:pt idx="4">
                  <c:v>3.0323005932762031E-2</c:v>
                </c:pt>
                <c:pt idx="5">
                  <c:v>3.655750190403656E-2</c:v>
                </c:pt>
                <c:pt idx="6">
                  <c:v>3.4769463340891912E-2</c:v>
                </c:pt>
                <c:pt idx="7">
                  <c:v>3.3057851239669422E-2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2.6190476190476191E-2</c:v>
                </c:pt>
                <c:pt idx="1">
                  <c:v>2.6190476190476191E-2</c:v>
                </c:pt>
                <c:pt idx="2">
                  <c:v>2.6223776223776224E-2</c:v>
                </c:pt>
                <c:pt idx="3">
                  <c:v>2.4193548387096774E-2</c:v>
                </c:pt>
                <c:pt idx="4">
                  <c:v>3.0124426981008513E-2</c:v>
                </c:pt>
                <c:pt idx="5">
                  <c:v>3.2542372881355933E-2</c:v>
                </c:pt>
                <c:pt idx="6">
                  <c:v>2.8014616321559074E-2</c:v>
                </c:pt>
                <c:pt idx="7">
                  <c:v>3.4082106893880713E-2</c:v>
                </c:pt>
              </c:numCache>
            </c:numRef>
          </c:val>
          <c:smooth val="1"/>
        </c:ser>
        <c:marker val="1"/>
        <c:axId val="141538048"/>
        <c:axId val="141536256"/>
      </c:lineChart>
      <c:catAx>
        <c:axId val="14153318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1534720"/>
        <c:crosses val="autoZero"/>
        <c:auto val="1"/>
        <c:lblAlgn val="ctr"/>
        <c:lblOffset val="100"/>
      </c:catAx>
      <c:valAx>
        <c:axId val="14153472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1533184"/>
        <c:crosses val="autoZero"/>
        <c:crossBetween val="between"/>
      </c:valAx>
      <c:valAx>
        <c:axId val="14153625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41538048"/>
        <c:crosses val="max"/>
        <c:crossBetween val="between"/>
      </c:valAx>
      <c:catAx>
        <c:axId val="141538048"/>
        <c:scaling>
          <c:orientation val="minMax"/>
        </c:scaling>
        <c:delete val="1"/>
        <c:axPos val="b"/>
        <c:tickLblPos val="none"/>
        <c:crossAx val="14153625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1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0.99</c:v>
                </c:pt>
                <c:pt idx="1">
                  <c:v>0.92</c:v>
                </c:pt>
                <c:pt idx="2">
                  <c:v>0.77</c:v>
                </c:pt>
                <c:pt idx="3">
                  <c:v>1.01</c:v>
                </c:pt>
                <c:pt idx="4">
                  <c:v>0.89</c:v>
                </c:pt>
                <c:pt idx="5">
                  <c:v>0.9</c:v>
                </c:pt>
                <c:pt idx="6">
                  <c:v>1.02</c:v>
                </c:pt>
                <c:pt idx="7">
                  <c:v>1.07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141646848"/>
        <c:axId val="141673216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0.91823899371069184</c:v>
                </c:pt>
                <c:pt idx="1">
                  <c:v>0.8231292517006803</c:v>
                </c:pt>
                <c:pt idx="2">
                  <c:v>0.8848920863309353</c:v>
                </c:pt>
                <c:pt idx="3">
                  <c:v>0.86338797814207646</c:v>
                </c:pt>
                <c:pt idx="4">
                  <c:v>0.8193548387096774</c:v>
                </c:pt>
                <c:pt idx="5">
                  <c:v>0.92592592592592593</c:v>
                </c:pt>
                <c:pt idx="6">
                  <c:v>0.94179894179894175</c:v>
                </c:pt>
                <c:pt idx="7">
                  <c:v>0.65104166666666663</c:v>
                </c:pt>
              </c:numCache>
            </c:numRef>
          </c:val>
          <c:smooth val="1"/>
        </c:ser>
        <c:marker val="1"/>
        <c:axId val="141676544"/>
        <c:axId val="141674752"/>
      </c:lineChart>
      <c:catAx>
        <c:axId val="14164684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1673216"/>
        <c:crosses val="autoZero"/>
        <c:auto val="1"/>
        <c:lblAlgn val="ctr"/>
        <c:lblOffset val="100"/>
      </c:catAx>
      <c:valAx>
        <c:axId val="14167321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1646848"/>
        <c:crosses val="autoZero"/>
        <c:crossBetween val="between"/>
      </c:valAx>
      <c:valAx>
        <c:axId val="141674752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1676544"/>
        <c:crosses val="max"/>
        <c:crossBetween val="between"/>
      </c:valAx>
      <c:catAx>
        <c:axId val="141676544"/>
        <c:scaling>
          <c:orientation val="minMax"/>
        </c:scaling>
        <c:delete val="1"/>
        <c:axPos val="b"/>
        <c:tickLblPos val="none"/>
        <c:crossAx val="14167475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34"/>
          <c:w val="0.88395908009621549"/>
          <c:h val="0.75954052669684669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1719</c:v>
                </c:pt>
                <c:pt idx="1">
                  <c:v>1750</c:v>
                </c:pt>
                <c:pt idx="2">
                  <c:v>1787</c:v>
                </c:pt>
                <c:pt idx="3">
                  <c:v>1946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1801</c:v>
                </c:pt>
                <c:pt idx="1">
                  <c:v>1626</c:v>
                </c:pt>
                <c:pt idx="2">
                  <c:v>1681</c:v>
                </c:pt>
                <c:pt idx="3">
                  <c:v>1633</c:v>
                </c:pt>
              </c:numCache>
            </c:numRef>
          </c:val>
        </c:ser>
        <c:gapWidth val="65"/>
        <c:axId val="141684096"/>
        <c:axId val="141587584"/>
      </c:barChart>
      <c:catAx>
        <c:axId val="141684096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587584"/>
        <c:crosses val="autoZero"/>
        <c:auto val="1"/>
        <c:lblAlgn val="ctr"/>
        <c:lblOffset val="100"/>
      </c:catAx>
      <c:valAx>
        <c:axId val="141587584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4168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49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115.05600201748487</c:v>
                </c:pt>
                <c:pt idx="1">
                  <c:v>115.05600201748487</c:v>
                </c:pt>
                <c:pt idx="2">
                  <c:v>111.98209815563953</c:v>
                </c:pt>
                <c:pt idx="3">
                  <c:v>105.94491382890831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110.15255317579738</c:v>
                </c:pt>
                <c:pt idx="1">
                  <c:v>114.82744083200544</c:v>
                </c:pt>
                <c:pt idx="2">
                  <c:v>107.79910288525483</c:v>
                </c:pt>
                <c:pt idx="3">
                  <c:v>105.74963319918859</c:v>
                </c:pt>
              </c:numCache>
            </c:numRef>
          </c:val>
          <c:smooth val="1"/>
        </c:ser>
        <c:dLbls>
          <c:showVal val="1"/>
        </c:dLbls>
        <c:marker val="1"/>
        <c:axId val="141621888"/>
        <c:axId val="141701504"/>
      </c:lineChart>
      <c:catAx>
        <c:axId val="141621888"/>
        <c:scaling>
          <c:orientation val="minMax"/>
        </c:scaling>
        <c:delete val="1"/>
        <c:axPos val="b"/>
        <c:majorTickMark val="none"/>
        <c:tickLblPos val="none"/>
        <c:crossAx val="141701504"/>
        <c:crosses val="autoZero"/>
        <c:auto val="1"/>
        <c:lblAlgn val="ctr"/>
        <c:lblOffset val="100"/>
      </c:catAx>
      <c:valAx>
        <c:axId val="141701504"/>
        <c:scaling>
          <c:orientation val="minMax"/>
          <c:max val="139.06720242098183"/>
          <c:min val="83.599706559350878"/>
        </c:scaling>
        <c:delete val="1"/>
        <c:axPos val="l"/>
        <c:numFmt formatCode="#,##0;[Red]\-#,##0" sourceLinked="1"/>
        <c:majorTickMark val="none"/>
        <c:tickLblPos val="none"/>
        <c:crossAx val="14162188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518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51139072"/>
        <c:axId val="151140608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51152128"/>
        <c:axId val="151150592"/>
      </c:lineChart>
      <c:dateAx>
        <c:axId val="15113907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1140608"/>
        <c:crosses val="autoZero"/>
        <c:lblOffset val="100"/>
        <c:baseTimeUnit val="days"/>
      </c:dateAx>
      <c:valAx>
        <c:axId val="15114060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1139072"/>
        <c:crosses val="autoZero"/>
        <c:crossBetween val="between"/>
      </c:valAx>
      <c:valAx>
        <c:axId val="151150592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1152128"/>
        <c:crosses val="max"/>
        <c:crossBetween val="between"/>
      </c:valAx>
      <c:dateAx>
        <c:axId val="151152128"/>
        <c:scaling>
          <c:orientation val="minMax"/>
        </c:scaling>
        <c:delete val="1"/>
        <c:axPos val="b"/>
        <c:numFmt formatCode="General" sourceLinked="1"/>
        <c:tickLblPos val="none"/>
        <c:crossAx val="151150592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469E-2"/>
          <c:y val="7.6339457567804025E-2"/>
          <c:w val="0.91226332455746406"/>
          <c:h val="0.76162697844589533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51172992"/>
        <c:axId val="151174528"/>
      </c:lineChart>
      <c:catAx>
        <c:axId val="15117299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1174528"/>
        <c:crosses val="autoZero"/>
        <c:auto val="1"/>
        <c:lblAlgn val="ctr"/>
        <c:lblOffset val="100"/>
      </c:catAx>
      <c:valAx>
        <c:axId val="151174528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117299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552E-2"/>
          <c:y val="7.6339457567804025E-2"/>
          <c:w val="0.91226344792658953"/>
          <c:h val="0.76162697844589577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51209088"/>
        <c:axId val="151210624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51222144"/>
        <c:axId val="151220608"/>
      </c:lineChart>
      <c:catAx>
        <c:axId val="15120908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1210624"/>
        <c:crosses val="autoZero"/>
        <c:auto val="1"/>
        <c:lblAlgn val="ctr"/>
        <c:lblOffset val="100"/>
      </c:catAx>
      <c:valAx>
        <c:axId val="151210624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1209088"/>
        <c:crosses val="autoZero"/>
        <c:crossBetween val="between"/>
      </c:valAx>
      <c:valAx>
        <c:axId val="151220608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51222144"/>
        <c:crosses val="max"/>
        <c:crossBetween val="between"/>
      </c:valAx>
      <c:catAx>
        <c:axId val="151222144"/>
        <c:scaling>
          <c:orientation val="minMax"/>
        </c:scaling>
        <c:delete val="1"/>
        <c:axPos val="b"/>
        <c:tickLblPos val="none"/>
        <c:crossAx val="151220608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622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51255296"/>
        <c:axId val="151920640"/>
      </c:barChart>
      <c:catAx>
        <c:axId val="15125529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1920640"/>
        <c:crosses val="autoZero"/>
        <c:auto val="1"/>
        <c:lblAlgn val="ctr"/>
        <c:lblOffset val="100"/>
      </c:catAx>
      <c:valAx>
        <c:axId val="151920640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125529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245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51974272"/>
        <c:axId val="151975808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51991424"/>
        <c:axId val="151977344"/>
      </c:lineChart>
      <c:catAx>
        <c:axId val="15197427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1975808"/>
        <c:crosses val="autoZero"/>
        <c:auto val="1"/>
        <c:lblAlgn val="ctr"/>
        <c:lblOffset val="100"/>
      </c:catAx>
      <c:valAx>
        <c:axId val="15197580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1974272"/>
        <c:crosses val="autoZero"/>
        <c:crossBetween val="between"/>
      </c:valAx>
      <c:valAx>
        <c:axId val="15197734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51991424"/>
        <c:crosses val="max"/>
        <c:crossBetween val="between"/>
      </c:valAx>
      <c:catAx>
        <c:axId val="151991424"/>
        <c:scaling>
          <c:orientation val="minMax"/>
        </c:scaling>
        <c:delete val="1"/>
        <c:axPos val="b"/>
        <c:tickLblPos val="none"/>
        <c:crossAx val="15197734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39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52044672"/>
        <c:axId val="152046208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52061824"/>
        <c:axId val="152060288"/>
      </c:lineChart>
      <c:catAx>
        <c:axId val="15204467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2046208"/>
        <c:crosses val="autoZero"/>
        <c:auto val="1"/>
        <c:lblAlgn val="ctr"/>
        <c:lblOffset val="100"/>
      </c:catAx>
      <c:valAx>
        <c:axId val="15204620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2044672"/>
        <c:crosses val="autoZero"/>
        <c:crossBetween val="between"/>
      </c:valAx>
      <c:valAx>
        <c:axId val="152060288"/>
        <c:scaling>
          <c:orientation val="minMax"/>
          <c:max val="0.42461380020597378"/>
          <c:min val="1.7723880597014945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52061824"/>
        <c:crosses val="max"/>
        <c:crossBetween val="between"/>
      </c:valAx>
      <c:catAx>
        <c:axId val="152061824"/>
        <c:scaling>
          <c:orientation val="minMax"/>
        </c:scaling>
        <c:delete val="1"/>
        <c:axPos val="b"/>
        <c:tickLblPos val="none"/>
        <c:crossAx val="152060288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1773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1773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1773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1773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1773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42372</v>
      </c>
      <c r="C2" s="145">
        <f ca="1">B2-WEEKDAY(TODAY())-1</f>
        <v>42370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42363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42356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42349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42342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42335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71" r:id="rId3" name="CommandButton2"/>
    <control shapeId="3276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2000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2001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2002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18" t="s">
        <v>2057</v>
      </c>
      <c r="B1" s="319" t="s">
        <v>2061</v>
      </c>
      <c r="C1" s="320">
        <v>14</v>
      </c>
      <c r="D1" s="1"/>
      <c r="E1" s="1"/>
      <c r="F1" s="1"/>
      <c r="G1" s="13"/>
      <c r="H1" s="1"/>
      <c r="I1" s="1"/>
      <c r="J1" s="2"/>
      <c r="M1" s="8"/>
      <c r="N1" s="183"/>
      <c r="O1" s="385">
        <v>1</v>
      </c>
      <c r="P1" s="386">
        <v>1</v>
      </c>
      <c r="Q1" s="386">
        <v>2</v>
      </c>
      <c r="R1" s="386">
        <v>1</v>
      </c>
      <c r="S1" s="387">
        <v>0</v>
      </c>
      <c r="T1" s="388" t="str">
        <f>"    合計 " &amp; SUM(O1:S1) &amp; " 分    "</f>
        <v xml:space="preserve">    合計 5 分    </v>
      </c>
      <c r="U1" s="389"/>
      <c r="V1" s="390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51" t="s">
        <v>1890</v>
      </c>
      <c r="G2" s="351"/>
      <c r="H2" s="351"/>
      <c r="I2" s="351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58" t="s">
        <v>9</v>
      </c>
      <c r="X2" s="358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1719</v>
      </c>
      <c r="P3" s="216">
        <f>VLOOKUP("營業收入淨額",$B$40:$L$500,8,0)</f>
        <v>1750</v>
      </c>
      <c r="Q3" s="216">
        <f>VLOOKUP("營業收入淨額",$B$40:$L$500,7,0)</f>
        <v>1787</v>
      </c>
      <c r="R3" s="216">
        <f>VLOOKUP("營業收入淨額",$B$40:$L$500,6,0)</f>
        <v>1946</v>
      </c>
      <c r="S3" s="216">
        <f>VLOOKUP("營業收入淨額",$B$40:$L$500,5,0)</f>
        <v>1801</v>
      </c>
      <c r="T3" s="216">
        <f>VLOOKUP("營業收入淨額",$B$40:$L$500,4,0)</f>
        <v>1626</v>
      </c>
      <c r="U3" s="216">
        <f>VLOOKUP("營業收入淨額",$B$40:$L$500,3,0)</f>
        <v>1681</v>
      </c>
      <c r="V3" s="217">
        <f>VLOOKUP("營業收入淨額",$B$40:$L$500,2,0)</f>
        <v>1633</v>
      </c>
      <c r="W3" s="174">
        <f>MAX(O3:V3)</f>
        <v>1946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46"/>
      <c r="G4" s="346"/>
      <c r="H4" s="346"/>
      <c r="I4" s="346"/>
      <c r="J4" s="6"/>
      <c r="K4" s="8"/>
      <c r="L4" s="8"/>
      <c r="M4" s="8"/>
      <c r="N4" s="184" t="s">
        <v>11</v>
      </c>
      <c r="O4" s="215">
        <f>VLOOKUP("營業成本",$B$40:$L$500,9,0)</f>
        <v>1408</v>
      </c>
      <c r="P4" s="216">
        <f>VLOOKUP("營業成本",$B$40:$L$500,8,0)</f>
        <v>1487</v>
      </c>
      <c r="Q4" s="216">
        <f>VLOOKUP("營業成本",$B$40:$L$500,7,0)</f>
        <v>1502</v>
      </c>
      <c r="R4" s="216">
        <f>VLOOKUP("營業成本",$B$40:$L$500,6,0)</f>
        <v>1601</v>
      </c>
      <c r="S4" s="216">
        <f>VLOOKUP("營業成本",$B$40:$L$500,5,0)</f>
        <v>1517</v>
      </c>
      <c r="T4" s="216">
        <f>VLOOKUP("營業成本",$B$40:$L$500,4,0)</f>
        <v>1313</v>
      </c>
      <c r="U4" s="216">
        <f>VLOOKUP("營業成本",$B$40:$L$500,3,0)</f>
        <v>1323</v>
      </c>
      <c r="V4" s="217">
        <f>VLOOKUP("營業成本",$B$40:$L$500,2,0)</f>
        <v>1331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146</v>
      </c>
      <c r="P5" s="216">
        <f>VLOOKUP("營業利益",$B$40:$L$500,8,0)</f>
        <v>121</v>
      </c>
      <c r="Q5" s="216">
        <f>VLOOKUP("營業利益",$B$40:$L$500,7,0)</f>
        <v>123</v>
      </c>
      <c r="R5" s="216">
        <f>VLOOKUP("營業利益",$B$40:$L$500,6,0)</f>
        <v>158</v>
      </c>
      <c r="S5" s="216">
        <f>VLOOKUP("營業利益",$B$40:$L$500,5,0)</f>
        <v>127</v>
      </c>
      <c r="T5" s="216">
        <f>VLOOKUP("營業利益",$B$40:$L$500,4,0)</f>
        <v>150</v>
      </c>
      <c r="U5" s="216">
        <f>VLOOKUP("營業利益",$B$40:$L$500,3,0)</f>
        <v>178</v>
      </c>
      <c r="V5" s="217">
        <f>VLOOKUP("營業利益",$B$40:$L$500,2,0)</f>
        <v>125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46"/>
      <c r="G6" s="346"/>
      <c r="H6" s="346"/>
      <c r="I6" s="346"/>
      <c r="J6" s="6"/>
      <c r="K6" s="8"/>
      <c r="L6" s="8"/>
      <c r="M6" s="8"/>
      <c r="N6" s="184" t="s">
        <v>12</v>
      </c>
      <c r="O6" s="215">
        <f>VLOOKUP("營業外收入合計",$B$40:$L$500,9,0)</f>
        <v>23</v>
      </c>
      <c r="P6" s="216">
        <f>VLOOKUP("營業外收入合計",$B$40:$L$500,8,0)</f>
        <v>27</v>
      </c>
      <c r="Q6" s="216">
        <f>VLOOKUP("營業外收入合計",$B$40:$L$500,7,0)</f>
        <v>16</v>
      </c>
      <c r="R6" s="216">
        <f>VLOOKUP("營業外收入合計",$B$40:$L$500,6,0)</f>
        <v>26</v>
      </c>
      <c r="S6" s="216">
        <f>VLOOKUP("營業外收入合計",$B$40:$L$500,5,0)</f>
        <v>42</v>
      </c>
      <c r="T6" s="216">
        <f>VLOOKUP("營業外收入合計",$B$40:$L$500,4,0)</f>
        <v>16</v>
      </c>
      <c r="U6" s="216">
        <f>VLOOKUP("營業外收入合計",$B$40:$L$500,3,0)</f>
        <v>17</v>
      </c>
      <c r="V6" s="217">
        <f>VLOOKUP("營業外收入合計",$B$40:$L$500,2,0)</f>
        <v>58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159</v>
      </c>
      <c r="P7" s="216">
        <f>VLOOKUP("稅前淨利",$B$40:$L$500,8,0)</f>
        <v>147</v>
      </c>
      <c r="Q7" s="216">
        <f>VLOOKUP("稅前淨利",$B$40:$L$500,7,0)</f>
        <v>139</v>
      </c>
      <c r="R7" s="216">
        <f>VLOOKUP("稅前淨利",$B$40:$L$500,6,0)</f>
        <v>183</v>
      </c>
      <c r="S7" s="216">
        <f>VLOOKUP("稅前淨利",$B$40:$L$500,5,0)</f>
        <v>155</v>
      </c>
      <c r="T7" s="216">
        <f>VLOOKUP("稅前淨利",$B$40:$L$500,4,0)</f>
        <v>162</v>
      </c>
      <c r="U7" s="216">
        <f>VLOOKUP("稅前淨利",$B$40:$L$500,3,0)</f>
        <v>189</v>
      </c>
      <c r="V7" s="217">
        <f>VLOOKUP("稅前淨利",$B$40:$L$500,2,0)</f>
        <v>192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46"/>
      <c r="G8" s="346"/>
      <c r="H8" s="346"/>
      <c r="I8" s="346"/>
      <c r="J8" s="6"/>
      <c r="K8" s="8"/>
      <c r="L8" s="8"/>
      <c r="M8" s="8"/>
      <c r="N8" s="184" t="s">
        <v>13</v>
      </c>
      <c r="O8" s="215">
        <f>VLOOKUP("本期稅後淨利",$B$40:$L$500,9,0)</f>
        <v>132</v>
      </c>
      <c r="P8" s="216">
        <f>VLOOKUP("本期稅後淨利",$B$40:$L$500,8,0)</f>
        <v>123</v>
      </c>
      <c r="Q8" s="216">
        <f>VLOOKUP("本期稅後淨利",$B$40:$L$500,7,0)</f>
        <v>115</v>
      </c>
      <c r="R8" s="216">
        <f>VLOOKUP("本期稅後淨利",$B$40:$L$500,6,0)</f>
        <v>152</v>
      </c>
      <c r="S8" s="216">
        <f>VLOOKUP("本期稅後淨利",$B$40:$L$500,5,0)</f>
        <v>134</v>
      </c>
      <c r="T8" s="216">
        <f>VLOOKUP("本期稅後淨利",$B$40:$L$500,4,0)</f>
        <v>136</v>
      </c>
      <c r="U8" s="216">
        <f>VLOOKUP("本期稅後淨利",$B$40:$L$500,3,0)</f>
        <v>153</v>
      </c>
      <c r="V8" s="217">
        <f>VLOOKUP("本期稅後淨利",$B$40:$L$500,2,0)</f>
        <v>160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0.99</v>
      </c>
      <c r="P9" s="216">
        <f>VLOOKUP("每股盈餘 (元)",$B$40:$L$500,8,0)</f>
        <v>0.92</v>
      </c>
      <c r="Q9" s="216">
        <f>VLOOKUP("每股盈餘 (元)",$B$40:$L$500,7,0)</f>
        <v>0.77</v>
      </c>
      <c r="R9" s="216">
        <f>VLOOKUP("每股盈餘 (元)",$B$40:$L$500,6,0)</f>
        <v>1.01</v>
      </c>
      <c r="S9" s="216">
        <f>VLOOKUP("每股盈餘 (元)",$B$40:$L$500,5,0)</f>
        <v>0.89</v>
      </c>
      <c r="T9" s="216">
        <f>VLOOKUP("每股盈餘 (元)",$B$40:$L$500,4,0)</f>
        <v>0.9</v>
      </c>
      <c r="U9" s="216">
        <f>VLOOKUP("每股盈餘 (元)",$B$40:$L$500,3,0)</f>
        <v>1.02</v>
      </c>
      <c r="V9" s="217">
        <f>VLOOKUP("每股盈餘 (元)",$B$40:$L$500,2,0)</f>
        <v>1.07</v>
      </c>
      <c r="W9" s="174">
        <f>MAX(R9:V9)</f>
        <v>1.07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46"/>
      <c r="G10" s="346"/>
      <c r="H10" s="346"/>
      <c r="I10" s="346"/>
      <c r="J10" s="6"/>
      <c r="K10" s="8"/>
      <c r="L10" s="8"/>
      <c r="M10" s="8"/>
      <c r="N10" s="184" t="s">
        <v>222</v>
      </c>
      <c r="O10" s="215">
        <f>VLOOKUP(" 應收帳款及票據",$B$40:$L$500,9,0)</f>
        <v>1091</v>
      </c>
      <c r="P10" s="216">
        <f>VLOOKUP(" 應收帳款及票據",$B$40:$L$500,8,0)</f>
        <v>1079</v>
      </c>
      <c r="Q10" s="216">
        <f>VLOOKUP(" 應收帳款及票據",$B$40:$L$500,7,0)</f>
        <v>1081</v>
      </c>
      <c r="R10" s="216">
        <f>VLOOKUP(" 應收帳款及票據",$B$40:$L$500,6,0)</f>
        <v>1149</v>
      </c>
      <c r="S10" s="216">
        <f>VLOOKUP(" 應收帳款及票據",$B$40:$L$500,5,0)</f>
        <v>1023</v>
      </c>
      <c r="T10" s="216">
        <f>VLOOKUP(" 應收帳款及票據",$B$40:$L$500,4,0)</f>
        <v>938</v>
      </c>
      <c r="U10" s="216">
        <f>VLOOKUP(" 應收帳款及票據",$B$40:$L$500,3,0)</f>
        <v>922</v>
      </c>
      <c r="V10" s="217">
        <f>VLOOKUP(" 應收帳款及票據",$B$40:$L$500,2,0)</f>
        <v>976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1004</v>
      </c>
      <c r="P11" s="216">
        <f>VLOOKUP(" 存貨",$B$40:$L$500,8,0)</f>
        <v>902</v>
      </c>
      <c r="Q11" s="216">
        <f>VLOOKUP(" 存貨",$B$40:$L$500,7,0)</f>
        <v>969</v>
      </c>
      <c r="R11" s="216">
        <f>VLOOKUP(" 存貨",$B$40:$L$500,6,0)</f>
        <v>914</v>
      </c>
      <c r="S11" s="216">
        <f>VLOOKUP(" 存貨",$B$40:$L$500,5,0)</f>
        <v>919</v>
      </c>
      <c r="T11" s="216">
        <f>VLOOKUP(" 存貨",$B$40:$L$500,4,0)</f>
        <v>802</v>
      </c>
      <c r="U11" s="216">
        <f>VLOOKUP(" 存貨",$B$40:$L$500,3,0)</f>
        <v>860</v>
      </c>
      <c r="V11" s="217">
        <f>VLOOKUP(" 存貨",$B$40:$L$500,2,0)</f>
        <v>678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420</v>
      </c>
      <c r="P12" s="216">
        <f>VLOOKUP(" 應付帳款及票據",$B$40:$L$500,8,0)</f>
        <v>383</v>
      </c>
      <c r="Q12" s="216">
        <f>VLOOKUP(" 應付帳款及票據",$B$40:$L$500,7,0)</f>
        <v>388</v>
      </c>
      <c r="R12" s="216">
        <f>VLOOKUP(" 應付帳款及票據",$B$40:$L$500,6,0)</f>
        <v>498</v>
      </c>
      <c r="S12" s="216">
        <f>VLOOKUP(" 應付帳款及票據",$B$40:$L$500,5,0)</f>
        <v>403</v>
      </c>
      <c r="T12" s="216">
        <f>VLOOKUP(" 應付帳款及票據",$B$40:$L$500,4,0)</f>
        <v>494</v>
      </c>
      <c r="U12" s="216">
        <f>VLOOKUP(" 應付帳款及票據",$B$40:$L$500,3,0)</f>
        <v>408</v>
      </c>
      <c r="V12" s="217">
        <f>VLOOKUP(" 應付帳款及票據",$B$40:$L$500,2,0)</f>
        <v>386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1435</v>
      </c>
      <c r="P13" s="216">
        <f>VLOOKUP("負債總額",$B$40:$L$500,8,0)</f>
        <v>1287</v>
      </c>
      <c r="Q13" s="216">
        <f>VLOOKUP("負債總額",$B$40:$L$500,7,0)</f>
        <v>1460</v>
      </c>
      <c r="R13" s="216">
        <f>VLOOKUP("負債總額",$B$40:$L$500,6,0)</f>
        <v>1453</v>
      </c>
      <c r="S13" s="216">
        <f>VLOOKUP("負債總額",$B$40:$L$500,5,0)</f>
        <v>1184</v>
      </c>
      <c r="T13" s="216">
        <f>VLOOKUP("負債總額",$B$40:$L$500,4,0)</f>
        <v>1090</v>
      </c>
      <c r="U13" s="216">
        <f>VLOOKUP("負債總額",$B$40:$L$500,3,0)</f>
        <v>1404</v>
      </c>
      <c r="V13" s="217">
        <f>VLOOKUP("負債總額",$B$40:$L$500,2,0)</f>
        <v>1098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52" t="s">
        <v>1889</v>
      </c>
      <c r="G14" s="352"/>
      <c r="H14" s="352"/>
      <c r="I14" s="352"/>
      <c r="J14" s="42"/>
      <c r="K14" s="8"/>
      <c r="L14" s="8"/>
      <c r="M14" s="8"/>
      <c r="N14" s="184" t="s">
        <v>18</v>
      </c>
      <c r="O14" s="215">
        <f>VLOOKUP("資產總額",$B$40:$L$500,9,0)</f>
        <v>4967</v>
      </c>
      <c r="P14" s="216">
        <f>VLOOKUP("資產總額",$B$40:$L$500,8,0)</f>
        <v>4938</v>
      </c>
      <c r="Q14" s="216">
        <f>VLOOKUP("資產總額",$B$40:$L$500,7,0)</f>
        <v>4947</v>
      </c>
      <c r="R14" s="216">
        <f>VLOOKUP("資產總額",$B$40:$L$500,6,0)</f>
        <v>5112</v>
      </c>
      <c r="S14" s="216">
        <f>VLOOKUP("資產總額",$B$40:$L$500,5,0)</f>
        <v>4990</v>
      </c>
      <c r="T14" s="216">
        <f>VLOOKUP("資產總額",$B$40:$L$500,4,0)</f>
        <v>5024</v>
      </c>
      <c r="U14" s="216">
        <f>VLOOKUP("資產總額",$B$40:$L$500,3,0)</f>
        <v>5091</v>
      </c>
      <c r="V14" s="217">
        <f>VLOOKUP("資產總額",$B$40:$L$500,2,0)</f>
        <v>4975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82</v>
      </c>
      <c r="P15" s="216">
        <f>VLOOKUP("來自營運之現金流量",$B$40:$L$500,8,0)</f>
        <v>125</v>
      </c>
      <c r="Q15" s="216">
        <f>VLOOKUP("來自營運之現金流量",$B$40:$L$500,7,0)</f>
        <v>157</v>
      </c>
      <c r="R15" s="216">
        <f>VLOOKUP("來自營運之現金流量",$B$40:$L$500,6,0)</f>
        <v>277</v>
      </c>
      <c r="S15" s="216">
        <f>VLOOKUP("來自營運之現金流量",$B$40:$L$500,5,0)</f>
        <v>272</v>
      </c>
      <c r="T15" s="216">
        <f>VLOOKUP("來自營運之現金流量",$B$40:$L$500,4,0)</f>
        <v>467</v>
      </c>
      <c r="U15" s="216">
        <f>VLOOKUP("來自營運之現金流量",$B$40:$L$500,3,0)</f>
        <v>44</v>
      </c>
      <c r="V15" s="217">
        <f>VLOOKUP("來自營運之現金流量",$B$40:$L$500,2,0)</f>
        <v>305</v>
      </c>
      <c r="W15" s="176">
        <f>AVERAGE(R15:V15)</f>
        <v>273</v>
      </c>
      <c r="X15" s="176">
        <f>AVERAGE(U15:V15)</f>
        <v>174.5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46"/>
      <c r="G16" s="346"/>
      <c r="H16" s="346"/>
      <c r="I16" s="346"/>
      <c r="J16" s="6"/>
      <c r="K16" s="8"/>
      <c r="L16" s="8"/>
      <c r="M16" s="8"/>
      <c r="N16" s="184" t="s">
        <v>20</v>
      </c>
      <c r="O16" s="215">
        <v>47</v>
      </c>
      <c r="P16" s="216">
        <v>70</v>
      </c>
      <c r="Q16" s="216">
        <v>71</v>
      </c>
      <c r="R16" s="216">
        <v>86</v>
      </c>
      <c r="S16" s="216">
        <v>74</v>
      </c>
      <c r="T16" s="216">
        <v>42</v>
      </c>
      <c r="U16" s="216">
        <v>39</v>
      </c>
      <c r="V16" s="217">
        <v>32</v>
      </c>
      <c r="W16" s="176">
        <f>MAX(O16:V16)</f>
        <v>86</v>
      </c>
      <c r="X16" s="176">
        <f>AVERAGE(U16:V16)</f>
        <v>35.5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34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28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46"/>
      <c r="G18" s="346"/>
      <c r="H18" s="346"/>
      <c r="I18" s="346"/>
      <c r="J18" s="6"/>
      <c r="K18" s="8"/>
      <c r="L18" s="8"/>
      <c r="M18" s="8"/>
      <c r="N18" s="184" t="s">
        <v>22</v>
      </c>
      <c r="O18" s="215">
        <f>VLOOKUP(" 折舊",$B$40:$L$500,9,0)</f>
        <v>42</v>
      </c>
      <c r="P18" s="216">
        <f>VLOOKUP(" 折舊",$B$40:$L$500,8,0)</f>
        <v>44</v>
      </c>
      <c r="Q18" s="216">
        <f>VLOOKUP(" 折舊",$B$40:$L$500,7,0)</f>
        <v>45</v>
      </c>
      <c r="R18" s="216">
        <f>VLOOKUP(" 折舊",$B$40:$L$500,6,0)</f>
        <v>45</v>
      </c>
      <c r="S18" s="216">
        <f>VLOOKUP(" 折舊",$B$40:$L$500,5,0)</f>
        <v>46</v>
      </c>
      <c r="T18" s="216">
        <f>VLOOKUP(" 折舊",$B$40:$L$500,4,0)</f>
        <v>48</v>
      </c>
      <c r="U18" s="216">
        <f>VLOOKUP(" 折舊",$B$40:$L$500,3,0)</f>
        <v>46</v>
      </c>
      <c r="V18" s="217">
        <f>VLOOKUP(" 折舊",$B$40:$L$500,2,0)</f>
        <v>44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0</v>
      </c>
      <c r="P19" s="219">
        <f>VLOOKUP(" 攤提",$B$40:$L$500,8,0)</f>
        <v>0</v>
      </c>
      <c r="Q19" s="219">
        <f>VLOOKUP(" 攤提",$B$40:$L$500,7,0)</f>
        <v>0</v>
      </c>
      <c r="R19" s="219">
        <f>VLOOKUP(" 攤提",$B$40:$L$500,6,0)</f>
        <v>0</v>
      </c>
      <c r="S19" s="219">
        <f>VLOOKUP(" 攤提",$B$40:$L$500,5,0)</f>
        <v>0</v>
      </c>
      <c r="T19" s="219">
        <f>VLOOKUP(" 攤提",$B$40:$L$500,4,0)</f>
        <v>0</v>
      </c>
      <c r="U19" s="219">
        <f>VLOOKUP(" 攤提",$B$40:$L$500,3,0)</f>
        <v>0</v>
      </c>
      <c r="V19" s="220">
        <f>VLOOKUP(" 攤提",$B$40:$L$500,2,0)</f>
        <v>0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46"/>
      <c r="G20" s="346"/>
      <c r="H20" s="346"/>
      <c r="I20" s="346"/>
      <c r="J20" s="6"/>
      <c r="K20" s="8"/>
      <c r="L20" s="8"/>
      <c r="M20" s="8"/>
      <c r="N20" s="184" t="s">
        <v>24</v>
      </c>
      <c r="O20" s="221">
        <f>VLOOKUP("股東權益總額",$B$40:$L$500,9,0)</f>
        <v>3531</v>
      </c>
      <c r="P20" s="222">
        <f>VLOOKUP("股東權益總額",$B$40:$L$500,8,0)</f>
        <v>3652</v>
      </c>
      <c r="Q20" s="222">
        <f>VLOOKUP("股東權益總額",$B$40:$L$500,7,0)</f>
        <v>3487</v>
      </c>
      <c r="R20" s="222">
        <f>VLOOKUP("股東權益總額",$B$40:$L$500,6,0)</f>
        <v>3659</v>
      </c>
      <c r="S20" s="222">
        <f>VLOOKUP("股東權益總額",$B$40:$L$500,5,0)</f>
        <v>3806</v>
      </c>
      <c r="T20" s="222">
        <f>VLOOKUP("股東權益總額",$B$40:$L$500,4,0)</f>
        <v>3934</v>
      </c>
      <c r="U20" s="222">
        <f>VLOOKUP("股東權益總額",$B$40:$L$500,3,0)</f>
        <v>3687</v>
      </c>
      <c r="V20" s="223">
        <f>VLOOKUP("股東權益總額",$B$40:$L$500,2,0)</f>
        <v>3877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1335</v>
      </c>
      <c r="P21" s="225">
        <f>VLOOKUP(" 普通股股本",$B$40:$L$500,8,0)</f>
        <v>1335</v>
      </c>
      <c r="Q21" s="225">
        <f>VLOOKUP(" 普通股股本",$B$40:$L$500,7,0)</f>
        <v>1335</v>
      </c>
      <c r="R21" s="225">
        <f>VLOOKUP(" 普通股股本",$B$40:$L$500,6,0)</f>
        <v>1500</v>
      </c>
      <c r="S21" s="225">
        <f>VLOOKUP(" 普通股股本",$B$40:$L$500,5,0)</f>
        <v>1500</v>
      </c>
      <c r="T21" s="225">
        <f>VLOOKUP(" 普通股股本",$B$40:$L$500,4,0)</f>
        <v>1500</v>
      </c>
      <c r="U21" s="225">
        <f>VLOOKUP(" 普通股股本",$B$40:$L$500,3,0)</f>
        <v>1500</v>
      </c>
      <c r="V21" s="226">
        <f>VLOOKUP(" 普通股股本",$B$40:$L$500,2,0)</f>
        <v>1500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46"/>
      <c r="G22" s="346"/>
      <c r="H22" s="346"/>
      <c r="I22" s="346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0.18091913903432227</v>
      </c>
      <c r="P22" s="228">
        <f t="shared" si="0"/>
        <v>0.15028571428571427</v>
      </c>
      <c r="Q22" s="228">
        <f t="shared" si="0"/>
        <v>0.15948517067711249</v>
      </c>
      <c r="R22" s="228">
        <f t="shared" si="0"/>
        <v>0.17728674203494346</v>
      </c>
      <c r="S22" s="228">
        <f t="shared" si="0"/>
        <v>0.15769017212659633</v>
      </c>
      <c r="T22" s="228">
        <f t="shared" si="0"/>
        <v>0.19249692496924969</v>
      </c>
      <c r="U22" s="228">
        <f t="shared" si="0"/>
        <v>0.21296847114812612</v>
      </c>
      <c r="V22" s="229">
        <f t="shared" si="0"/>
        <v>0.18493570116350275</v>
      </c>
      <c r="W22" s="359">
        <f>MIN(O22:V23)</f>
        <v>6.4353665360940129E-2</v>
      </c>
      <c r="X22" s="359">
        <f>MAX(O22:V23)</f>
        <v>0.21296847114812612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7.6788830715532289E-2</v>
      </c>
      <c r="P23" s="228">
        <f t="shared" ref="P23:V23" si="1">P8/P3</f>
        <v>7.0285714285714285E-2</v>
      </c>
      <c r="Q23" s="228">
        <f t="shared" si="1"/>
        <v>6.4353665360940129E-2</v>
      </c>
      <c r="R23" s="228">
        <f t="shared" si="1"/>
        <v>7.8108941418293942E-2</v>
      </c>
      <c r="S23" s="228">
        <f t="shared" si="1"/>
        <v>7.4403109383675739E-2</v>
      </c>
      <c r="T23" s="228">
        <f t="shared" si="1"/>
        <v>8.3640836408364089E-2</v>
      </c>
      <c r="U23" s="228">
        <f t="shared" si="1"/>
        <v>9.1017251635930996E-2</v>
      </c>
      <c r="V23" s="229">
        <f t="shared" si="1"/>
        <v>9.7979179424372315E-2</v>
      </c>
      <c r="W23" s="359"/>
      <c r="X23" s="359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0.28890678477954501</v>
      </c>
      <c r="P24" s="228">
        <f t="shared" si="2"/>
        <v>0.26063183475091128</v>
      </c>
      <c r="Q24" s="228">
        <f t="shared" si="2"/>
        <v>0.29512836062259956</v>
      </c>
      <c r="R24" s="228">
        <f t="shared" si="2"/>
        <v>0.28423317683881066</v>
      </c>
      <c r="S24" s="228">
        <f t="shared" si="2"/>
        <v>0.2372745490981964</v>
      </c>
      <c r="T24" s="228">
        <f t="shared" si="2"/>
        <v>0.21695859872611464</v>
      </c>
      <c r="U24" s="228">
        <f t="shared" si="2"/>
        <v>0.27578078962875663</v>
      </c>
      <c r="V24" s="229">
        <f t="shared" si="2"/>
        <v>0.22070351758793968</v>
      </c>
      <c r="W24" s="177">
        <f>MIN(O24:V24)</f>
        <v>0.21695859872611464</v>
      </c>
      <c r="X24" s="177">
        <f>MAX(O24:V24)</f>
        <v>0.29512836062259956</v>
      </c>
      <c r="Y24" s="174"/>
      <c r="Z24" s="8"/>
      <c r="AA24" s="127"/>
      <c r="AB24" s="7"/>
      <c r="AC24" s="8"/>
      <c r="AD24" s="9"/>
    </row>
    <row r="25" spans="1:30" ht="5.0999999999999996" customHeight="1">
      <c r="A25" s="355"/>
      <c r="B25" s="356"/>
      <c r="C25" s="356"/>
      <c r="D25" s="356"/>
      <c r="E25" s="356"/>
      <c r="F25" s="356"/>
      <c r="G25" s="356"/>
      <c r="H25" s="356"/>
      <c r="I25" s="356"/>
      <c r="J25" s="357"/>
      <c r="K25" s="8"/>
      <c r="L25" s="8"/>
      <c r="M25" s="8"/>
      <c r="N25" s="184" t="s">
        <v>27</v>
      </c>
      <c r="O25" s="230">
        <f>P25</f>
        <v>24.638113651647611</v>
      </c>
      <c r="P25" s="231">
        <f t="shared" ref="P25:V25" si="3">IF(ISNUMBER(365/(P4*4/((O12+P12)/2))),365/(P4*4/((O12+P12)/2)),0)</f>
        <v>24.638113651647611</v>
      </c>
      <c r="Q25" s="231">
        <f t="shared" si="3"/>
        <v>23.420023302263647</v>
      </c>
      <c r="R25" s="231">
        <f t="shared" si="3"/>
        <v>25.249063085571517</v>
      </c>
      <c r="S25" s="231">
        <f t="shared" si="3"/>
        <v>27.098302570863549</v>
      </c>
      <c r="T25" s="231">
        <f t="shared" si="3"/>
        <v>31.169554455445542</v>
      </c>
      <c r="U25" s="231">
        <f t="shared" si="3"/>
        <v>31.10638699924414</v>
      </c>
      <c r="V25" s="232">
        <f t="shared" si="3"/>
        <v>27.217317806160782</v>
      </c>
      <c r="W25" s="178">
        <f>MIN(O25:V27)</f>
        <v>23.420023302263647</v>
      </c>
      <c r="X25" s="179">
        <f>MAX(O25:V27)</f>
        <v>59.802456207159182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52" t="s">
        <v>1881</v>
      </c>
      <c r="G26" s="352"/>
      <c r="H26" s="352"/>
      <c r="I26" s="352"/>
      <c r="J26" s="124"/>
      <c r="K26" s="8"/>
      <c r="L26" s="8"/>
      <c r="M26" s="8"/>
      <c r="N26" s="184" t="s">
        <v>28</v>
      </c>
      <c r="O26" s="233">
        <f>P26</f>
        <v>56.575000000000003</v>
      </c>
      <c r="P26" s="234">
        <f t="shared" ref="P26:V27" si="4">IF(ISNUMBER(365/(P3*4/((O10+P10)/2))),365/(P3*4/((O10+P10)/2)),0)</f>
        <v>56.575000000000003</v>
      </c>
      <c r="Q26" s="234">
        <f t="shared" si="4"/>
        <v>55.148293228875211</v>
      </c>
      <c r="R26" s="234">
        <f t="shared" si="4"/>
        <v>52.28353031860226</v>
      </c>
      <c r="S26" s="234">
        <f t="shared" si="4"/>
        <v>55.023598001110493</v>
      </c>
      <c r="T26" s="234">
        <f t="shared" si="4"/>
        <v>55.024984624846248</v>
      </c>
      <c r="U26" s="234">
        <f t="shared" si="4"/>
        <v>50.483343248066625</v>
      </c>
      <c r="V26" s="235">
        <f t="shared" si="4"/>
        <v>53.028934476423757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58.481002017484869</v>
      </c>
      <c r="P27" s="231">
        <f t="shared" si="4"/>
        <v>58.481002017484869</v>
      </c>
      <c r="Q27" s="231">
        <f t="shared" si="4"/>
        <v>56.833804926764316</v>
      </c>
      <c r="R27" s="231">
        <f t="shared" si="4"/>
        <v>53.661383510306059</v>
      </c>
      <c r="S27" s="231">
        <f t="shared" si="4"/>
        <v>55.128955174686887</v>
      </c>
      <c r="T27" s="231">
        <f t="shared" si="4"/>
        <v>59.802456207159182</v>
      </c>
      <c r="U27" s="231">
        <f t="shared" si="4"/>
        <v>57.315759637188208</v>
      </c>
      <c r="V27" s="232">
        <f t="shared" si="4"/>
        <v>52.720698722764837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46"/>
      <c r="G28" s="346"/>
      <c r="H28" s="346"/>
      <c r="I28" s="346"/>
      <c r="J28" s="6"/>
      <c r="K28" s="8"/>
      <c r="L28" s="8"/>
      <c r="M28" s="8"/>
      <c r="N28" s="184" t="s">
        <v>30</v>
      </c>
      <c r="O28" s="236">
        <f>O26+O27</f>
        <v>115.05600201748487</v>
      </c>
      <c r="P28" s="237">
        <f t="shared" ref="P28:V28" si="5">P26+P27</f>
        <v>115.05600201748487</v>
      </c>
      <c r="Q28" s="237">
        <f t="shared" si="5"/>
        <v>111.98209815563953</v>
      </c>
      <c r="R28" s="237">
        <f t="shared" si="5"/>
        <v>105.94491382890831</v>
      </c>
      <c r="S28" s="237">
        <f t="shared" si="5"/>
        <v>110.15255317579738</v>
      </c>
      <c r="T28" s="237">
        <f t="shared" si="5"/>
        <v>114.82744083200544</v>
      </c>
      <c r="U28" s="237">
        <f t="shared" si="5"/>
        <v>107.79910288525483</v>
      </c>
      <c r="V28" s="238">
        <f t="shared" si="5"/>
        <v>105.74963319918859</v>
      </c>
      <c r="W28" s="180">
        <f>MIN(O28:V28)</f>
        <v>105.74963319918859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42</v>
      </c>
      <c r="P29" s="216">
        <f t="shared" ref="P29:V29" si="6">P18+P19</f>
        <v>44</v>
      </c>
      <c r="Q29" s="216">
        <f t="shared" si="6"/>
        <v>45</v>
      </c>
      <c r="R29" s="216">
        <f t="shared" si="6"/>
        <v>45</v>
      </c>
      <c r="S29" s="216">
        <f t="shared" si="6"/>
        <v>46</v>
      </c>
      <c r="T29" s="216">
        <f t="shared" si="6"/>
        <v>48</v>
      </c>
      <c r="U29" s="216">
        <f t="shared" si="6"/>
        <v>46</v>
      </c>
      <c r="V29" s="217">
        <f t="shared" si="6"/>
        <v>44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46"/>
      <c r="G30" s="346"/>
      <c r="H30" s="346"/>
      <c r="I30" s="346"/>
      <c r="J30" s="6"/>
      <c r="K30" s="8"/>
      <c r="L30" s="8"/>
      <c r="M30" s="8"/>
      <c r="N30" s="184" t="s">
        <v>32</v>
      </c>
      <c r="O30" s="227">
        <f>P30</f>
        <v>2.6190476190476191E-2</v>
      </c>
      <c r="P30" s="228">
        <f t="shared" ref="P30:V30" si="7">P29/(IF(P3-O3&gt;0,P3,O4)-P16)</f>
        <v>2.6190476190476191E-2</v>
      </c>
      <c r="Q30" s="228">
        <f t="shared" si="7"/>
        <v>2.6223776223776224E-2</v>
      </c>
      <c r="R30" s="228">
        <f t="shared" si="7"/>
        <v>2.4193548387096774E-2</v>
      </c>
      <c r="S30" s="228">
        <f t="shared" si="7"/>
        <v>3.0124426981008513E-2</v>
      </c>
      <c r="T30" s="228">
        <f t="shared" si="7"/>
        <v>3.2542372881355933E-2</v>
      </c>
      <c r="U30" s="228">
        <f t="shared" si="7"/>
        <v>2.8014616321559074E-2</v>
      </c>
      <c r="V30" s="229">
        <f t="shared" si="7"/>
        <v>3.4082106893880713E-2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2.9829545454545456E-2</v>
      </c>
      <c r="P31" s="240">
        <f t="shared" si="8"/>
        <v>2.9589778076664425E-2</v>
      </c>
      <c r="Q31" s="240">
        <f t="shared" si="8"/>
        <v>2.9960053262316912E-2</v>
      </c>
      <c r="R31" s="240">
        <f t="shared" si="8"/>
        <v>2.8107432854465958E-2</v>
      </c>
      <c r="S31" s="240">
        <f>S29/S4</f>
        <v>3.0323005932762031E-2</v>
      </c>
      <c r="T31" s="240">
        <f t="shared" si="8"/>
        <v>3.655750190403656E-2</v>
      </c>
      <c r="U31" s="240">
        <f t="shared" si="8"/>
        <v>3.4769463340891912E-2</v>
      </c>
      <c r="V31" s="241">
        <f t="shared" si="8"/>
        <v>3.3057851239669422E-2</v>
      </c>
      <c r="W31" s="354">
        <f>AVERAGE(O32:V32)</f>
        <v>1.4467212813298784</v>
      </c>
      <c r="X31" s="354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46"/>
      <c r="G32" s="346"/>
      <c r="H32" s="346"/>
      <c r="I32" s="346"/>
      <c r="J32" s="6"/>
      <c r="K32" s="8"/>
      <c r="L32" s="8"/>
      <c r="M32" s="8"/>
      <c r="N32" s="353" t="s">
        <v>33</v>
      </c>
      <c r="O32" s="242">
        <f t="shared" ref="O32:V32" si="9">IF(O8&gt;0,IF(O15&gt;O8,IF(ISNUMBER(O15/O8),O15/O8,0),0),0)</f>
        <v>0</v>
      </c>
      <c r="P32" s="243">
        <f t="shared" si="9"/>
        <v>1.0162601626016261</v>
      </c>
      <c r="Q32" s="243">
        <f t="shared" si="9"/>
        <v>1.3652173913043477</v>
      </c>
      <c r="R32" s="243">
        <f t="shared" si="9"/>
        <v>1.8223684210526316</v>
      </c>
      <c r="S32" s="243">
        <f t="shared" si="9"/>
        <v>2.0298507462686568</v>
      </c>
      <c r="T32" s="243">
        <f t="shared" si="9"/>
        <v>3.4338235294117645</v>
      </c>
      <c r="U32" s="243">
        <f t="shared" si="9"/>
        <v>0</v>
      </c>
      <c r="V32" s="244">
        <f t="shared" si="9"/>
        <v>1.90625</v>
      </c>
      <c r="W32" s="354"/>
      <c r="X32" s="354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53"/>
      <c r="O33" s="242">
        <f>$W$31</f>
        <v>1.4467212813298784</v>
      </c>
      <c r="P33" s="243">
        <f t="shared" ref="P33:V33" si="10">$W$31</f>
        <v>1.4467212813298784</v>
      </c>
      <c r="Q33" s="243">
        <f t="shared" si="10"/>
        <v>1.4467212813298784</v>
      </c>
      <c r="R33" s="243">
        <f t="shared" si="10"/>
        <v>1.4467212813298784</v>
      </c>
      <c r="S33" s="243">
        <f t="shared" si="10"/>
        <v>1.4467212813298784</v>
      </c>
      <c r="T33" s="243">
        <f t="shared" si="10"/>
        <v>1.4467212813298784</v>
      </c>
      <c r="U33" s="243">
        <f t="shared" si="10"/>
        <v>1.4467212813298784</v>
      </c>
      <c r="V33" s="244">
        <f t="shared" si="10"/>
        <v>1.4467212813298784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46"/>
      <c r="G34" s="346"/>
      <c r="H34" s="346"/>
      <c r="I34" s="346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146</v>
      </c>
      <c r="P34" s="246">
        <f t="shared" si="11"/>
        <v>121</v>
      </c>
      <c r="Q34" s="246">
        <f t="shared" si="11"/>
        <v>123</v>
      </c>
      <c r="R34" s="246">
        <f t="shared" si="11"/>
        <v>158</v>
      </c>
      <c r="S34" s="246">
        <f t="shared" si="11"/>
        <v>127</v>
      </c>
      <c r="T34" s="246">
        <f t="shared" si="11"/>
        <v>150</v>
      </c>
      <c r="U34" s="246">
        <f t="shared" si="11"/>
        <v>178</v>
      </c>
      <c r="V34" s="247">
        <f t="shared" si="11"/>
        <v>125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0.91823899371069184</v>
      </c>
      <c r="P35" s="228">
        <f t="shared" si="12"/>
        <v>0.8231292517006803</v>
      </c>
      <c r="Q35" s="228">
        <f t="shared" si="12"/>
        <v>0.8848920863309353</v>
      </c>
      <c r="R35" s="228">
        <f t="shared" si="12"/>
        <v>0.86338797814207646</v>
      </c>
      <c r="S35" s="228">
        <f t="shared" si="12"/>
        <v>0.8193548387096774</v>
      </c>
      <c r="T35" s="228">
        <f t="shared" si="12"/>
        <v>0.92592592592592593</v>
      </c>
      <c r="U35" s="228">
        <f t="shared" si="12"/>
        <v>0.94179894179894175</v>
      </c>
      <c r="V35" s="229">
        <f>IF(ISNUMBER(V6),V34/V7,1)</f>
        <v>0.65104166666666663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6.7825591336563129E-2</v>
      </c>
      <c r="Q36" s="249">
        <f>(Q8+P8)*2/(O20+Q20)</f>
        <v>6.7825591336563129E-2</v>
      </c>
      <c r="R36" s="249">
        <f>((R8+Q8+P8)/3)*4/(O20+R20)</f>
        <v>7.2322670375521564E-2</v>
      </c>
      <c r="S36" s="249">
        <f>(S8+R8+Q8+P8)/(O20+S20)</f>
        <v>7.1418836036527197E-2</v>
      </c>
      <c r="T36" s="249">
        <f>(T8+S8+R8+Q8)/(P20+T20)</f>
        <v>7.0788294226206167E-2</v>
      </c>
      <c r="U36" s="249">
        <f>(U8+T8+S8+R8)/(Q20+U20)</f>
        <v>8.0150543629774182E-2</v>
      </c>
      <c r="V36" s="250">
        <f>(V8+U8+T8+S8)/(R20+V20)</f>
        <v>7.7361995753715496E-2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35</v>
      </c>
      <c r="P37" s="125">
        <f>P15-P16</f>
        <v>55</v>
      </c>
      <c r="Q37" s="125">
        <f t="shared" ref="Q37:V37" si="13">Q15-Q16</f>
        <v>86</v>
      </c>
      <c r="R37" s="125">
        <f t="shared" si="13"/>
        <v>191</v>
      </c>
      <c r="S37" s="125">
        <f t="shared" si="13"/>
        <v>198</v>
      </c>
      <c r="T37" s="125">
        <f t="shared" si="13"/>
        <v>425</v>
      </c>
      <c r="U37" s="125">
        <f t="shared" si="13"/>
        <v>5</v>
      </c>
      <c r="V37" s="125">
        <f t="shared" si="13"/>
        <v>273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1633</v>
      </c>
      <c r="D41" s="14">
        <v>1681</v>
      </c>
      <c r="E41" s="14">
        <v>1626</v>
      </c>
      <c r="F41" s="14">
        <v>1801</v>
      </c>
      <c r="G41" s="14">
        <v>1946</v>
      </c>
      <c r="H41" s="14">
        <v>1787</v>
      </c>
      <c r="I41" s="14">
        <v>1750</v>
      </c>
      <c r="J41" s="14">
        <v>1719</v>
      </c>
      <c r="AA41" s="127"/>
    </row>
    <row r="42" spans="1:31" s="3" customFormat="1">
      <c r="B42" s="3" t="s">
        <v>11</v>
      </c>
      <c r="C42" s="14">
        <v>1331</v>
      </c>
      <c r="D42" s="14">
        <v>1323</v>
      </c>
      <c r="E42" s="14">
        <v>1313</v>
      </c>
      <c r="F42" s="14">
        <v>1517</v>
      </c>
      <c r="G42" s="14">
        <v>1601</v>
      </c>
      <c r="H42" s="14">
        <v>1502</v>
      </c>
      <c r="I42" s="14">
        <v>1487</v>
      </c>
      <c r="J42" s="14">
        <v>1408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303</v>
      </c>
      <c r="D43" s="14">
        <v>358</v>
      </c>
      <c r="E43" s="14">
        <v>313</v>
      </c>
      <c r="F43" s="14">
        <v>285</v>
      </c>
      <c r="G43" s="14">
        <v>345</v>
      </c>
      <c r="H43" s="14">
        <v>285</v>
      </c>
      <c r="I43" s="14">
        <v>263</v>
      </c>
      <c r="J43" s="14">
        <v>311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303</v>
      </c>
      <c r="D45" s="14">
        <v>358</v>
      </c>
      <c r="E45" s="14">
        <v>313</v>
      </c>
      <c r="F45" s="14">
        <v>285</v>
      </c>
      <c r="G45" s="14">
        <v>345</v>
      </c>
      <c r="H45" s="14">
        <v>285</v>
      </c>
      <c r="I45" s="14">
        <v>263</v>
      </c>
      <c r="J45" s="14">
        <v>311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178</v>
      </c>
      <c r="D46" s="14">
        <v>180</v>
      </c>
      <c r="E46" s="14">
        <v>163</v>
      </c>
      <c r="F46" s="14">
        <v>158</v>
      </c>
      <c r="G46" s="14">
        <v>186</v>
      </c>
      <c r="H46" s="14">
        <v>162</v>
      </c>
      <c r="I46" s="14">
        <v>142</v>
      </c>
      <c r="J46" s="14">
        <v>165</v>
      </c>
      <c r="N46" s="126"/>
      <c r="AA46" s="127"/>
    </row>
    <row r="47" spans="1:31" s="3" customFormat="1">
      <c r="B47" s="3" t="s">
        <v>59</v>
      </c>
      <c r="C47" s="14">
        <v>69</v>
      </c>
      <c r="D47" s="14">
        <v>73</v>
      </c>
      <c r="E47" s="14">
        <v>65</v>
      </c>
      <c r="F47" s="14">
        <v>71</v>
      </c>
      <c r="G47" s="14">
        <v>81</v>
      </c>
      <c r="H47" s="14">
        <v>67</v>
      </c>
      <c r="I47" s="14">
        <v>59</v>
      </c>
      <c r="J47" s="14">
        <v>55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91</v>
      </c>
      <c r="D48" s="14">
        <v>94</v>
      </c>
      <c r="E48" s="14">
        <v>83</v>
      </c>
      <c r="F48" s="14">
        <v>74</v>
      </c>
      <c r="G48" s="14">
        <v>93</v>
      </c>
      <c r="H48" s="14">
        <v>83</v>
      </c>
      <c r="I48" s="14">
        <v>72</v>
      </c>
      <c r="J48" s="14">
        <v>88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18</v>
      </c>
      <c r="D49" s="14">
        <v>14</v>
      </c>
      <c r="E49" s="14">
        <v>15</v>
      </c>
      <c r="F49" s="14">
        <v>13</v>
      </c>
      <c r="G49" s="14">
        <v>13</v>
      </c>
      <c r="H49" s="14">
        <v>12</v>
      </c>
      <c r="I49" s="14">
        <v>10</v>
      </c>
      <c r="J49" s="14">
        <v>22</v>
      </c>
      <c r="N49" s="116" t="s">
        <v>1959</v>
      </c>
      <c r="O49" s="347" t="s">
        <v>1961</v>
      </c>
      <c r="P49" s="347" t="s">
        <v>1962</v>
      </c>
      <c r="Q49" s="349" t="s">
        <v>1963</v>
      </c>
      <c r="R49" s="347" t="s">
        <v>1964</v>
      </c>
      <c r="S49" s="324" t="s">
        <v>1965</v>
      </c>
      <c r="T49" s="344" t="s">
        <v>1966</v>
      </c>
      <c r="U49" s="324" t="s">
        <v>1967</v>
      </c>
      <c r="V49" s="324" t="s">
        <v>1968</v>
      </c>
      <c r="W49" s="324" t="s">
        <v>1969</v>
      </c>
      <c r="X49" s="324" t="s">
        <v>1970</v>
      </c>
      <c r="Y49" s="324" t="s">
        <v>1971</v>
      </c>
      <c r="AA49" s="127"/>
    </row>
    <row r="50" spans="2:27" s="3" customFormat="1" ht="17.25" thickBot="1">
      <c r="B50" s="3" t="s">
        <v>62</v>
      </c>
      <c r="C50" s="14">
        <v>125</v>
      </c>
      <c r="D50" s="14">
        <v>178</v>
      </c>
      <c r="E50" s="14">
        <v>150</v>
      </c>
      <c r="F50" s="14">
        <v>127</v>
      </c>
      <c r="G50" s="14">
        <v>158</v>
      </c>
      <c r="H50" s="14">
        <v>123</v>
      </c>
      <c r="I50" s="14">
        <v>121</v>
      </c>
      <c r="J50" s="14">
        <v>146</v>
      </c>
      <c r="N50" s="117" t="s">
        <v>1960</v>
      </c>
      <c r="O50" s="348"/>
      <c r="P50" s="348"/>
      <c r="Q50" s="350"/>
      <c r="R50" s="348"/>
      <c r="S50" s="325"/>
      <c r="T50" s="345"/>
      <c r="U50" s="325"/>
      <c r="V50" s="325"/>
      <c r="W50" s="325"/>
      <c r="X50" s="325"/>
      <c r="Y50" s="325"/>
      <c r="AA50" s="127"/>
    </row>
    <row r="51" spans="2:27" s="3" customFormat="1">
      <c r="B51" s="3" t="s">
        <v>63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N51" s="129" t="s">
        <v>2060</v>
      </c>
      <c r="O51" s="326">
        <v>0.5625</v>
      </c>
      <c r="P51" s="329">
        <v>40.1</v>
      </c>
      <c r="Q51" s="332">
        <v>40.1</v>
      </c>
      <c r="R51" s="335">
        <v>40.4</v>
      </c>
      <c r="S51" s="382">
        <v>0</v>
      </c>
      <c r="T51" s="338">
        <v>35</v>
      </c>
      <c r="U51" s="341">
        <v>40.1</v>
      </c>
      <c r="V51" s="341">
        <v>40.1</v>
      </c>
      <c r="W51" s="341">
        <v>40.299999999999997</v>
      </c>
      <c r="X51" s="341">
        <v>40.1</v>
      </c>
      <c r="Y51" s="130" t="s">
        <v>1973</v>
      </c>
      <c r="AA51" s="127"/>
    </row>
    <row r="52" spans="2:27" s="3" customFormat="1">
      <c r="B52" s="3" t="s">
        <v>64</v>
      </c>
      <c r="C52" s="14">
        <v>19</v>
      </c>
      <c r="D52" s="14">
        <v>13</v>
      </c>
      <c r="E52" s="14">
        <v>12</v>
      </c>
      <c r="F52" s="14">
        <v>21</v>
      </c>
      <c r="G52" s="14">
        <v>16</v>
      </c>
      <c r="H52" s="14">
        <v>15</v>
      </c>
      <c r="I52" s="14">
        <v>18</v>
      </c>
      <c r="J52" s="14">
        <v>19</v>
      </c>
      <c r="N52" s="131" t="s">
        <v>1972</v>
      </c>
      <c r="O52" s="327"/>
      <c r="P52" s="330"/>
      <c r="Q52" s="333"/>
      <c r="R52" s="336"/>
      <c r="S52" s="383"/>
      <c r="T52" s="339"/>
      <c r="U52" s="342"/>
      <c r="V52" s="342"/>
      <c r="W52" s="342"/>
      <c r="X52" s="342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27"/>
      <c r="P53" s="330"/>
      <c r="Q53" s="333"/>
      <c r="R53" s="336"/>
      <c r="S53" s="383"/>
      <c r="T53" s="339"/>
      <c r="U53" s="342"/>
      <c r="V53" s="342"/>
      <c r="W53" s="342"/>
      <c r="X53" s="342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1</v>
      </c>
      <c r="G54" s="14">
        <v>0</v>
      </c>
      <c r="H54" s="14">
        <v>1</v>
      </c>
      <c r="I54" s="14">
        <v>0</v>
      </c>
      <c r="J54" s="14">
        <v>0</v>
      </c>
      <c r="N54" s="134"/>
      <c r="O54" s="328"/>
      <c r="P54" s="331"/>
      <c r="Q54" s="334"/>
      <c r="R54" s="337"/>
      <c r="S54" s="384"/>
      <c r="T54" s="340"/>
      <c r="U54" s="343"/>
      <c r="V54" s="343"/>
      <c r="W54" s="343"/>
      <c r="X54" s="343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N55" s="118" t="s">
        <v>2055</v>
      </c>
      <c r="O55" s="321" t="s">
        <v>2056</v>
      </c>
      <c r="P55" s="322"/>
      <c r="Q55" s="322"/>
      <c r="R55" s="322"/>
      <c r="S55" s="322"/>
      <c r="T55" s="322"/>
      <c r="U55" s="322"/>
      <c r="V55" s="322"/>
      <c r="W55" s="322"/>
      <c r="X55" s="322"/>
      <c r="Y55" s="323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20</v>
      </c>
      <c r="D61" s="14">
        <v>0</v>
      </c>
      <c r="E61" s="14">
        <v>0</v>
      </c>
      <c r="F61" s="14">
        <v>15</v>
      </c>
      <c r="G61" s="14">
        <v>7</v>
      </c>
      <c r="H61" s="14">
        <v>-2</v>
      </c>
      <c r="I61" s="14">
        <v>5</v>
      </c>
      <c r="J61" s="14">
        <v>4</v>
      </c>
      <c r="AA61" s="127"/>
    </row>
    <row r="62" spans="2:27" s="3" customFormat="1">
      <c r="B62" s="3" t="s">
        <v>74</v>
      </c>
      <c r="C62" s="14">
        <v>19</v>
      </c>
      <c r="D62" s="14">
        <v>4</v>
      </c>
      <c r="E62" s="14">
        <v>3</v>
      </c>
      <c r="F62" s="14">
        <v>5</v>
      </c>
      <c r="G62" s="14">
        <v>2</v>
      </c>
      <c r="H62" s="14">
        <v>3</v>
      </c>
      <c r="I62" s="14">
        <v>4</v>
      </c>
      <c r="J62" s="14">
        <v>1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58</v>
      </c>
      <c r="D63" s="14">
        <v>17</v>
      </c>
      <c r="E63" s="14">
        <v>16</v>
      </c>
      <c r="F63" s="14">
        <v>42</v>
      </c>
      <c r="G63" s="14">
        <v>26</v>
      </c>
      <c r="H63" s="14">
        <v>16</v>
      </c>
      <c r="I63" s="14">
        <v>27</v>
      </c>
      <c r="J63" s="14">
        <v>23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0</v>
      </c>
      <c r="D64" s="14">
        <v>0</v>
      </c>
      <c r="E64" s="14">
        <v>0</v>
      </c>
      <c r="F64" s="14">
        <v>1</v>
      </c>
      <c r="G64" s="14">
        <v>0</v>
      </c>
      <c r="H64" s="14">
        <v>0</v>
      </c>
      <c r="I64" s="14">
        <v>1</v>
      </c>
      <c r="J64" s="14">
        <v>1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13</v>
      </c>
      <c r="G72" s="14">
        <v>0</v>
      </c>
      <c r="H72" s="14">
        <v>0</v>
      </c>
      <c r="I72" s="14">
        <v>0</v>
      </c>
      <c r="J72" s="14">
        <v>10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-8</v>
      </c>
      <c r="D74" s="14">
        <v>5</v>
      </c>
      <c r="E74" s="14">
        <v>3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-8</v>
      </c>
      <c r="D77" s="14">
        <v>6</v>
      </c>
      <c r="E77" s="14">
        <v>3</v>
      </c>
      <c r="F77" s="14">
        <v>14</v>
      </c>
      <c r="G77" s="14">
        <v>1</v>
      </c>
      <c r="H77" s="14">
        <v>1</v>
      </c>
      <c r="I77" s="14">
        <v>1</v>
      </c>
      <c r="J77" s="14">
        <v>10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192</v>
      </c>
      <c r="D78" s="14">
        <v>189</v>
      </c>
      <c r="E78" s="14">
        <v>162</v>
      </c>
      <c r="F78" s="14">
        <v>155</v>
      </c>
      <c r="G78" s="14">
        <v>183</v>
      </c>
      <c r="H78" s="14">
        <v>139</v>
      </c>
      <c r="I78" s="14">
        <v>147</v>
      </c>
      <c r="J78" s="14">
        <v>159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31</v>
      </c>
      <c r="D79" s="14">
        <v>36</v>
      </c>
      <c r="E79" s="14">
        <v>27</v>
      </c>
      <c r="F79" s="14">
        <v>21</v>
      </c>
      <c r="G79" s="14">
        <v>32</v>
      </c>
      <c r="H79" s="14">
        <v>23</v>
      </c>
      <c r="I79" s="14">
        <v>24</v>
      </c>
      <c r="J79" s="14">
        <v>27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160</v>
      </c>
      <c r="D80" s="14">
        <v>153</v>
      </c>
      <c r="E80" s="14">
        <v>136</v>
      </c>
      <c r="F80" s="14">
        <v>134</v>
      </c>
      <c r="G80" s="14">
        <v>152</v>
      </c>
      <c r="H80" s="14">
        <v>115</v>
      </c>
      <c r="I80" s="14">
        <v>123</v>
      </c>
      <c r="J80" s="14">
        <v>132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160</v>
      </c>
      <c r="D84" s="14">
        <v>153</v>
      </c>
      <c r="E84" s="14">
        <v>136</v>
      </c>
      <c r="F84" s="14">
        <v>134</v>
      </c>
      <c r="G84" s="14">
        <v>152</v>
      </c>
      <c r="H84" s="14">
        <v>115</v>
      </c>
      <c r="I84" s="14">
        <v>123</v>
      </c>
      <c r="J84" s="14">
        <v>132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160</v>
      </c>
      <c r="D88" s="14">
        <v>153</v>
      </c>
      <c r="E88" s="14">
        <v>136</v>
      </c>
      <c r="F88" s="14">
        <v>134</v>
      </c>
      <c r="G88" s="14">
        <v>152</v>
      </c>
      <c r="H88" s="14">
        <v>115</v>
      </c>
      <c r="I88" s="14">
        <v>123</v>
      </c>
      <c r="J88" s="14">
        <v>132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1.07</v>
      </c>
      <c r="D89" s="14">
        <v>1.02</v>
      </c>
      <c r="E89" s="14">
        <v>0.9</v>
      </c>
      <c r="F89" s="14">
        <v>0.89</v>
      </c>
      <c r="G89" s="14">
        <v>1.01</v>
      </c>
      <c r="H89" s="14">
        <v>0.77</v>
      </c>
      <c r="I89" s="14">
        <v>0.92</v>
      </c>
      <c r="J89" s="14">
        <v>0.99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1.06</v>
      </c>
      <c r="D90" s="14">
        <v>1.02</v>
      </c>
      <c r="E90" s="14">
        <v>0.9</v>
      </c>
      <c r="F90" s="14" t="s">
        <v>98</v>
      </c>
      <c r="G90" s="14">
        <v>1.01</v>
      </c>
      <c r="H90" s="14">
        <v>0.77</v>
      </c>
      <c r="I90" s="14">
        <v>0.92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1500</v>
      </c>
      <c r="D91" s="14">
        <v>1500</v>
      </c>
      <c r="E91" s="14">
        <v>1500</v>
      </c>
      <c r="F91" s="14">
        <v>1500</v>
      </c>
      <c r="G91" s="14">
        <v>1500</v>
      </c>
      <c r="H91" s="14">
        <v>1500</v>
      </c>
      <c r="I91" s="14">
        <v>1335</v>
      </c>
      <c r="J91" s="14">
        <v>1335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192</v>
      </c>
      <c r="D96" s="14">
        <v>189</v>
      </c>
      <c r="E96" s="14">
        <v>163</v>
      </c>
      <c r="F96" s="14">
        <v>155</v>
      </c>
      <c r="G96" s="14">
        <v>184</v>
      </c>
      <c r="H96" s="14">
        <v>139</v>
      </c>
      <c r="I96" s="14">
        <v>148</v>
      </c>
      <c r="J96" s="14">
        <v>160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236</v>
      </c>
      <c r="D97" s="14">
        <v>235</v>
      </c>
      <c r="E97" s="14">
        <v>210</v>
      </c>
      <c r="F97" s="14">
        <v>201</v>
      </c>
      <c r="G97" s="14">
        <v>230</v>
      </c>
      <c r="H97" s="14">
        <v>184</v>
      </c>
      <c r="I97" s="14">
        <v>192</v>
      </c>
      <c r="J97" s="14">
        <v>202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145</v>
      </c>
      <c r="D98" s="14">
        <v>153</v>
      </c>
      <c r="E98" s="14">
        <v>136</v>
      </c>
      <c r="F98" s="14">
        <v>146</v>
      </c>
      <c r="G98" s="14">
        <v>152</v>
      </c>
      <c r="H98" s="14">
        <v>114</v>
      </c>
      <c r="I98" s="14">
        <v>123</v>
      </c>
      <c r="J98" s="14">
        <v>142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391</v>
      </c>
      <c r="D125" s="14">
        <v>460</v>
      </c>
      <c r="E125" s="14">
        <v>430</v>
      </c>
      <c r="F125" s="14">
        <v>165</v>
      </c>
      <c r="G125" s="14">
        <v>162</v>
      </c>
      <c r="H125" s="14">
        <v>120</v>
      </c>
      <c r="I125" s="14">
        <v>112</v>
      </c>
      <c r="J125" s="14">
        <v>129</v>
      </c>
      <c r="AA125" s="127"/>
    </row>
    <row r="126" spans="2:27" s="3" customFormat="1">
      <c r="B126" s="3" t="s">
        <v>153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976</v>
      </c>
      <c r="D127" s="14">
        <v>922</v>
      </c>
      <c r="E127" s="14">
        <v>938</v>
      </c>
      <c r="F127" s="14">
        <v>1023</v>
      </c>
      <c r="G127" s="14">
        <v>1149</v>
      </c>
      <c r="H127" s="14">
        <v>1081</v>
      </c>
      <c r="I127" s="14">
        <v>1079</v>
      </c>
      <c r="J127" s="14">
        <v>1091</v>
      </c>
      <c r="AA127" s="127"/>
    </row>
    <row r="128" spans="2:27" s="3" customFormat="1">
      <c r="B128" s="3" t="s">
        <v>154</v>
      </c>
      <c r="C128" s="14">
        <v>23</v>
      </c>
      <c r="D128" s="14">
        <v>15</v>
      </c>
      <c r="E128" s="14">
        <v>16</v>
      </c>
      <c r="F128" s="14">
        <v>16</v>
      </c>
      <c r="G128" s="14">
        <v>33</v>
      </c>
      <c r="H128" s="14">
        <v>13</v>
      </c>
      <c r="I128" s="14">
        <v>21</v>
      </c>
      <c r="J128" s="14">
        <v>24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678</v>
      </c>
      <c r="D130" s="14">
        <v>860</v>
      </c>
      <c r="E130" s="14">
        <v>802</v>
      </c>
      <c r="F130" s="14">
        <v>919</v>
      </c>
      <c r="G130" s="14">
        <v>914</v>
      </c>
      <c r="H130" s="14">
        <v>969</v>
      </c>
      <c r="I130" s="14">
        <v>902</v>
      </c>
      <c r="J130" s="14">
        <v>1004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26</v>
      </c>
      <c r="D132" s="14">
        <v>43</v>
      </c>
      <c r="E132" s="14">
        <v>19</v>
      </c>
      <c r="F132" s="14">
        <v>37</v>
      </c>
      <c r="G132" s="14">
        <v>67</v>
      </c>
      <c r="H132" s="14">
        <v>49</v>
      </c>
      <c r="I132" s="14">
        <v>108</v>
      </c>
      <c r="J132" s="14">
        <v>35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  <c r="AA133" s="127"/>
    </row>
    <row r="134" spans="2:27" s="3" customFormat="1">
      <c r="B134" s="3" t="s">
        <v>157</v>
      </c>
      <c r="C134" s="14">
        <v>2101</v>
      </c>
      <c r="D134" s="14">
        <v>2307</v>
      </c>
      <c r="E134" s="14">
        <v>2213</v>
      </c>
      <c r="F134" s="14">
        <v>2168</v>
      </c>
      <c r="G134" s="14">
        <v>2333</v>
      </c>
      <c r="H134" s="14">
        <v>2240</v>
      </c>
      <c r="I134" s="14">
        <v>2230</v>
      </c>
      <c r="J134" s="14">
        <v>2290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1275</v>
      </c>
      <c r="D135" s="14">
        <v>1182</v>
      </c>
      <c r="E135" s="14">
        <v>1194</v>
      </c>
      <c r="F135" s="14">
        <v>1191</v>
      </c>
      <c r="G135" s="14">
        <v>1189</v>
      </c>
      <c r="H135" s="14">
        <v>1152</v>
      </c>
      <c r="I135" s="14">
        <v>1166</v>
      </c>
      <c r="J135" s="14">
        <v>1142</v>
      </c>
      <c r="AA135" s="127"/>
    </row>
    <row r="136" spans="2:27" s="3" customFormat="1">
      <c r="B136" s="3" t="s">
        <v>159</v>
      </c>
      <c r="C136" s="14">
        <v>565</v>
      </c>
      <c r="D136" s="14">
        <v>565</v>
      </c>
      <c r="E136" s="14">
        <v>565</v>
      </c>
      <c r="F136" s="14">
        <v>565</v>
      </c>
      <c r="G136" s="14">
        <v>460</v>
      </c>
      <c r="H136" s="14">
        <v>460</v>
      </c>
      <c r="I136" s="14">
        <v>460</v>
      </c>
      <c r="J136" s="14">
        <v>460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>
        <v>990</v>
      </c>
      <c r="D137" s="14">
        <v>966</v>
      </c>
      <c r="E137" s="14">
        <v>965</v>
      </c>
      <c r="F137" s="14">
        <v>965</v>
      </c>
      <c r="G137" s="14">
        <v>917</v>
      </c>
      <c r="H137" s="14">
        <v>917</v>
      </c>
      <c r="I137" s="14">
        <v>931</v>
      </c>
      <c r="J137" s="14">
        <v>966</v>
      </c>
      <c r="AA137" s="127"/>
    </row>
    <row r="138" spans="2:27" s="3" customFormat="1">
      <c r="B138" s="3" t="s">
        <v>161</v>
      </c>
      <c r="C138" s="14">
        <v>980</v>
      </c>
      <c r="D138" s="14">
        <v>946</v>
      </c>
      <c r="E138" s="14">
        <v>935</v>
      </c>
      <c r="F138" s="14">
        <v>934</v>
      </c>
      <c r="G138" s="14">
        <v>920</v>
      </c>
      <c r="H138" s="14">
        <v>920</v>
      </c>
      <c r="I138" s="14">
        <v>913</v>
      </c>
      <c r="J138" s="14">
        <v>912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>
        <v>1275</v>
      </c>
      <c r="D139" s="14">
        <v>1210</v>
      </c>
      <c r="E139" s="14">
        <v>1204</v>
      </c>
      <c r="F139" s="14">
        <v>1195</v>
      </c>
      <c r="G139" s="14">
        <v>1166</v>
      </c>
      <c r="H139" s="14">
        <v>1157</v>
      </c>
      <c r="I139" s="14">
        <v>1148</v>
      </c>
      <c r="J139" s="14">
        <v>1131</v>
      </c>
      <c r="AA139" s="127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>
        <v>-2323</v>
      </c>
      <c r="D141" s="14">
        <v>-2284</v>
      </c>
      <c r="E141" s="14">
        <v>-2240</v>
      </c>
      <c r="F141" s="14">
        <v>-2196</v>
      </c>
      <c r="G141" s="14">
        <v>-2160</v>
      </c>
      <c r="H141" s="14">
        <v>-2120</v>
      </c>
      <c r="I141" s="14">
        <v>-2107</v>
      </c>
      <c r="J141" s="14">
        <v>-2091</v>
      </c>
      <c r="AA141" s="127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>
        <v>37</v>
      </c>
      <c r="D143" s="14">
        <v>132</v>
      </c>
      <c r="E143" s="14">
        <v>119</v>
      </c>
      <c r="F143" s="14">
        <v>96</v>
      </c>
      <c r="G143" s="14">
        <v>225</v>
      </c>
      <c r="H143" s="14">
        <v>156</v>
      </c>
      <c r="I143" s="14">
        <v>130</v>
      </c>
      <c r="J143" s="14">
        <v>93</v>
      </c>
      <c r="AA143" s="127"/>
    </row>
    <row r="144" spans="2:27" s="3" customFormat="1">
      <c r="B144" s="3" t="s">
        <v>167</v>
      </c>
      <c r="C144" s="14">
        <v>1525</v>
      </c>
      <c r="D144" s="14">
        <v>1536</v>
      </c>
      <c r="E144" s="14">
        <v>1549</v>
      </c>
      <c r="F144" s="14">
        <v>1559</v>
      </c>
      <c r="G144" s="14">
        <v>1527</v>
      </c>
      <c r="H144" s="14">
        <v>1490</v>
      </c>
      <c r="I144" s="14">
        <v>1474</v>
      </c>
      <c r="J144" s="14">
        <v>1471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58</v>
      </c>
      <c r="D145" s="14">
        <v>51</v>
      </c>
      <c r="E145" s="14">
        <v>53</v>
      </c>
      <c r="F145" s="14">
        <v>56</v>
      </c>
      <c r="G145" s="14">
        <v>47</v>
      </c>
      <c r="H145" s="14">
        <v>49</v>
      </c>
      <c r="I145" s="14">
        <v>51</v>
      </c>
      <c r="J145" s="14">
        <v>48</v>
      </c>
      <c r="AA145" s="127"/>
    </row>
    <row r="146" spans="2:27" s="3" customFormat="1">
      <c r="B146" s="3" t="s">
        <v>169</v>
      </c>
      <c r="C146" s="14">
        <v>1</v>
      </c>
      <c r="D146" s="14">
        <v>1</v>
      </c>
      <c r="E146" s="14">
        <v>2</v>
      </c>
      <c r="F146" s="14">
        <v>2</v>
      </c>
      <c r="G146" s="14">
        <v>2</v>
      </c>
      <c r="H146" s="14">
        <v>2</v>
      </c>
      <c r="I146" s="14">
        <v>2</v>
      </c>
      <c r="J146" s="14">
        <v>2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14</v>
      </c>
      <c r="D147" s="14">
        <v>14</v>
      </c>
      <c r="E147" s="14">
        <v>14</v>
      </c>
      <c r="F147" s="14">
        <v>14</v>
      </c>
      <c r="G147" s="14">
        <v>14</v>
      </c>
      <c r="H147" s="14">
        <v>14</v>
      </c>
      <c r="I147" s="14">
        <v>14</v>
      </c>
      <c r="J147" s="14">
        <v>14</v>
      </c>
      <c r="AA147" s="127"/>
    </row>
    <row r="148" spans="2:27" s="3" customFormat="1">
      <c r="B148" s="3" t="s">
        <v>171</v>
      </c>
      <c r="C148" s="14">
        <v>73</v>
      </c>
      <c r="D148" s="14">
        <v>66</v>
      </c>
      <c r="E148" s="14">
        <v>69</v>
      </c>
      <c r="F148" s="14">
        <v>72</v>
      </c>
      <c r="G148" s="14">
        <v>63</v>
      </c>
      <c r="H148" s="14">
        <v>66</v>
      </c>
      <c r="I148" s="14">
        <v>68</v>
      </c>
      <c r="J148" s="14">
        <v>64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4975</v>
      </c>
      <c r="D149" s="14">
        <v>5091</v>
      </c>
      <c r="E149" s="14">
        <v>5024</v>
      </c>
      <c r="F149" s="14">
        <v>4990</v>
      </c>
      <c r="G149" s="14">
        <v>5112</v>
      </c>
      <c r="H149" s="14">
        <v>4947</v>
      </c>
      <c r="I149" s="14">
        <v>4938</v>
      </c>
      <c r="J149" s="14">
        <v>4967</v>
      </c>
      <c r="AA149" s="127"/>
    </row>
    <row r="150" spans="2:27" s="3" customFormat="1">
      <c r="B150" s="3" t="s">
        <v>193</v>
      </c>
      <c r="C150" s="14">
        <v>99</v>
      </c>
      <c r="D150" s="14">
        <v>23</v>
      </c>
      <c r="E150" s="14">
        <v>0</v>
      </c>
      <c r="F150" s="14">
        <v>160</v>
      </c>
      <c r="G150" s="14">
        <v>355</v>
      </c>
      <c r="H150" s="14">
        <v>235</v>
      </c>
      <c r="I150" s="14">
        <v>316</v>
      </c>
      <c r="J150" s="14">
        <v>388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7"/>
    </row>
    <row r="152" spans="2:27" s="3" customFormat="1">
      <c r="B152" s="3" t="s">
        <v>16</v>
      </c>
      <c r="C152" s="14">
        <v>386</v>
      </c>
      <c r="D152" s="14">
        <v>408</v>
      </c>
      <c r="E152" s="14">
        <v>494</v>
      </c>
      <c r="F152" s="14">
        <v>403</v>
      </c>
      <c r="G152" s="14">
        <v>498</v>
      </c>
      <c r="H152" s="14">
        <v>388</v>
      </c>
      <c r="I152" s="14">
        <v>383</v>
      </c>
      <c r="J152" s="14">
        <v>420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227</v>
      </c>
      <c r="D153" s="14">
        <v>197</v>
      </c>
      <c r="E153" s="14">
        <v>187</v>
      </c>
      <c r="F153" s="14">
        <v>155</v>
      </c>
      <c r="G153" s="14">
        <v>225</v>
      </c>
      <c r="H153" s="14">
        <v>175</v>
      </c>
      <c r="I153" s="14">
        <v>179</v>
      </c>
      <c r="J153" s="14">
        <v>142</v>
      </c>
      <c r="AA153" s="127"/>
    </row>
    <row r="154" spans="2:27" s="3" customFormat="1">
      <c r="B154" s="3" t="s">
        <v>173</v>
      </c>
      <c r="C154" s="14">
        <v>9</v>
      </c>
      <c r="D154" s="14">
        <v>8</v>
      </c>
      <c r="E154" s="14">
        <v>13</v>
      </c>
      <c r="F154" s="14">
        <v>8</v>
      </c>
      <c r="G154" s="14">
        <v>9</v>
      </c>
      <c r="H154" s="14">
        <v>9</v>
      </c>
      <c r="I154" s="14">
        <v>8</v>
      </c>
      <c r="J154" s="14">
        <v>6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7</v>
      </c>
      <c r="D155" s="14">
        <v>395</v>
      </c>
      <c r="E155" s="14">
        <v>0</v>
      </c>
      <c r="F155" s="14">
        <v>80</v>
      </c>
      <c r="G155" s="14">
        <v>16</v>
      </c>
      <c r="H155" s="14">
        <v>289</v>
      </c>
      <c r="I155" s="14">
        <v>0</v>
      </c>
      <c r="J155" s="14">
        <v>105</v>
      </c>
      <c r="AA155" s="127"/>
    </row>
    <row r="156" spans="2:27" s="3" customFormat="1">
      <c r="B156" s="3" t="s">
        <v>175</v>
      </c>
      <c r="C156" s="14">
        <v>44</v>
      </c>
      <c r="D156" s="14">
        <v>57</v>
      </c>
      <c r="E156" s="14">
        <v>83</v>
      </c>
      <c r="F156" s="14">
        <v>60</v>
      </c>
      <c r="G156" s="14">
        <v>34</v>
      </c>
      <c r="H156" s="14">
        <v>53</v>
      </c>
      <c r="I156" s="14">
        <v>88</v>
      </c>
      <c r="J156" s="14">
        <v>62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  <c r="AA157" s="127"/>
    </row>
    <row r="158" spans="2:27" s="3" customFormat="1">
      <c r="B158" s="3" t="s">
        <v>177</v>
      </c>
      <c r="C158" s="14">
        <v>16</v>
      </c>
      <c r="D158" s="14">
        <v>14</v>
      </c>
      <c r="E158" s="14">
        <v>13</v>
      </c>
      <c r="F158" s="14">
        <v>18</v>
      </c>
      <c r="G158" s="14">
        <v>12</v>
      </c>
      <c r="H158" s="14">
        <v>12</v>
      </c>
      <c r="I158" s="14">
        <v>11</v>
      </c>
      <c r="J158" s="14">
        <v>11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788</v>
      </c>
      <c r="D159" s="14">
        <v>1102</v>
      </c>
      <c r="E159" s="14">
        <v>789</v>
      </c>
      <c r="F159" s="14">
        <v>883</v>
      </c>
      <c r="G159" s="14">
        <v>1149</v>
      </c>
      <c r="H159" s="14">
        <v>1159</v>
      </c>
      <c r="I159" s="14">
        <v>985</v>
      </c>
      <c r="J159" s="14">
        <v>1135</v>
      </c>
      <c r="AA159" s="127"/>
    </row>
    <row r="160" spans="2:27" s="3" customFormat="1">
      <c r="B160" s="3" t="s">
        <v>179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245</v>
      </c>
      <c r="D162" s="14">
        <v>245</v>
      </c>
      <c r="E162" s="14">
        <v>245</v>
      </c>
      <c r="F162" s="14">
        <v>246</v>
      </c>
      <c r="G162" s="14">
        <v>245</v>
      </c>
      <c r="H162" s="14">
        <v>245</v>
      </c>
      <c r="I162" s="14">
        <v>245</v>
      </c>
      <c r="J162" s="14">
        <v>245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59</v>
      </c>
      <c r="D163" s="14">
        <v>51</v>
      </c>
      <c r="E163" s="14">
        <v>50</v>
      </c>
      <c r="F163" s="14">
        <v>49</v>
      </c>
      <c r="G163" s="14">
        <v>54</v>
      </c>
      <c r="H163" s="14">
        <v>49</v>
      </c>
      <c r="I163" s="14">
        <v>51</v>
      </c>
      <c r="J163" s="14">
        <v>48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1</v>
      </c>
      <c r="G164" s="14">
        <v>0</v>
      </c>
      <c r="H164" s="14">
        <v>0</v>
      </c>
      <c r="I164" s="14">
        <v>0</v>
      </c>
      <c r="J164" s="14">
        <v>1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6</v>
      </c>
      <c r="D166" s="14">
        <v>6</v>
      </c>
      <c r="E166" s="14">
        <v>5</v>
      </c>
      <c r="F166" s="14">
        <v>5</v>
      </c>
      <c r="G166" s="14">
        <v>5</v>
      </c>
      <c r="H166" s="14">
        <v>6</v>
      </c>
      <c r="I166" s="14">
        <v>5</v>
      </c>
      <c r="J166" s="14">
        <v>5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310</v>
      </c>
      <c r="D167" s="14">
        <v>302</v>
      </c>
      <c r="E167" s="14">
        <v>300</v>
      </c>
      <c r="F167" s="14">
        <v>301</v>
      </c>
      <c r="G167" s="14">
        <v>304</v>
      </c>
      <c r="H167" s="14">
        <v>300</v>
      </c>
      <c r="I167" s="14">
        <v>301</v>
      </c>
      <c r="J167" s="14">
        <v>300</v>
      </c>
      <c r="AA167" s="127"/>
    </row>
    <row r="168" spans="2:27" s="3" customFormat="1">
      <c r="B168" s="3" t="s">
        <v>17</v>
      </c>
      <c r="C168" s="14">
        <v>1098</v>
      </c>
      <c r="D168" s="14">
        <v>1404</v>
      </c>
      <c r="E168" s="14">
        <v>1090</v>
      </c>
      <c r="F168" s="14">
        <v>1184</v>
      </c>
      <c r="G168" s="14">
        <v>1453</v>
      </c>
      <c r="H168" s="14">
        <v>1460</v>
      </c>
      <c r="I168" s="14">
        <v>1287</v>
      </c>
      <c r="J168" s="14">
        <v>1435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3877</v>
      </c>
      <c r="D169" s="14">
        <v>3687</v>
      </c>
      <c r="E169" s="14">
        <v>3934</v>
      </c>
      <c r="F169" s="14">
        <v>3806</v>
      </c>
      <c r="G169" s="14">
        <v>3659</v>
      </c>
      <c r="H169" s="14">
        <v>3487</v>
      </c>
      <c r="I169" s="14">
        <v>3652</v>
      </c>
      <c r="J169" s="14">
        <v>3531</v>
      </c>
      <c r="AA169" s="127"/>
    </row>
    <row r="170" spans="2:27" s="3" customFormat="1">
      <c r="B170" s="3" t="s">
        <v>195</v>
      </c>
      <c r="C170" s="14">
        <v>1500</v>
      </c>
      <c r="D170" s="14">
        <v>1500</v>
      </c>
      <c r="E170" s="14">
        <v>1500</v>
      </c>
      <c r="F170" s="14">
        <v>1500</v>
      </c>
      <c r="G170" s="14">
        <v>1500</v>
      </c>
      <c r="H170" s="14">
        <v>1335</v>
      </c>
      <c r="I170" s="14">
        <v>1335</v>
      </c>
      <c r="J170" s="14">
        <v>1335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101</v>
      </c>
      <c r="D172" s="14">
        <v>101</v>
      </c>
      <c r="E172" s="14">
        <v>101</v>
      </c>
      <c r="F172" s="14">
        <v>101</v>
      </c>
      <c r="G172" s="14">
        <v>101</v>
      </c>
      <c r="H172" s="14">
        <v>101</v>
      </c>
      <c r="I172" s="14">
        <v>101</v>
      </c>
      <c r="J172" s="14">
        <v>101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697</v>
      </c>
      <c r="D173" s="14">
        <v>697</v>
      </c>
      <c r="E173" s="14">
        <v>645</v>
      </c>
      <c r="F173" s="14">
        <v>645</v>
      </c>
      <c r="G173" s="14">
        <v>645</v>
      </c>
      <c r="H173" s="14">
        <v>645</v>
      </c>
      <c r="I173" s="14">
        <v>591</v>
      </c>
      <c r="J173" s="14">
        <v>591</v>
      </c>
      <c r="AA173" s="127"/>
    </row>
    <row r="174" spans="2:27" s="3" customFormat="1">
      <c r="B174" s="3" t="s">
        <v>199</v>
      </c>
      <c r="C174" s="14">
        <v>33</v>
      </c>
      <c r="D174" s="14">
        <v>33</v>
      </c>
      <c r="E174" s="14">
        <v>33</v>
      </c>
      <c r="F174" s="14">
        <v>33</v>
      </c>
      <c r="G174" s="14">
        <v>33</v>
      </c>
      <c r="H174" s="14">
        <v>33</v>
      </c>
      <c r="I174" s="14">
        <v>33</v>
      </c>
      <c r="J174" s="14">
        <v>33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1493</v>
      </c>
      <c r="D175" s="14">
        <v>1333</v>
      </c>
      <c r="E175" s="14">
        <v>1622</v>
      </c>
      <c r="F175" s="14">
        <v>1487</v>
      </c>
      <c r="G175" s="14">
        <v>1360</v>
      </c>
      <c r="H175" s="14">
        <v>1209</v>
      </c>
      <c r="I175" s="14">
        <v>1580</v>
      </c>
      <c r="J175" s="14">
        <v>1456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27"/>
    </row>
    <row r="178" spans="2:27" s="3" customFormat="1">
      <c r="B178" s="3" t="s">
        <v>189</v>
      </c>
      <c r="C178" s="14">
        <v>4975</v>
      </c>
      <c r="D178" s="14">
        <v>5091</v>
      </c>
      <c r="E178" s="14">
        <v>5024</v>
      </c>
      <c r="F178" s="14">
        <v>4990</v>
      </c>
      <c r="G178" s="14">
        <v>5112</v>
      </c>
      <c r="H178" s="14">
        <v>4947</v>
      </c>
      <c r="I178" s="14">
        <v>4938</v>
      </c>
      <c r="J178" s="14">
        <v>4967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160</v>
      </c>
      <c r="D224" s="14">
        <v>153</v>
      </c>
      <c r="E224" s="14">
        <v>136</v>
      </c>
      <c r="F224" s="14">
        <v>134</v>
      </c>
      <c r="G224" s="14">
        <v>152</v>
      </c>
      <c r="H224" s="14">
        <v>115</v>
      </c>
      <c r="I224" s="14">
        <v>123</v>
      </c>
      <c r="J224" s="14">
        <v>132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44</v>
      </c>
      <c r="D226" s="14">
        <v>46</v>
      </c>
      <c r="E226" s="14">
        <v>48</v>
      </c>
      <c r="F226" s="14">
        <v>46</v>
      </c>
      <c r="G226" s="14">
        <v>45</v>
      </c>
      <c r="H226" s="14">
        <v>45</v>
      </c>
      <c r="I226" s="14">
        <v>44</v>
      </c>
      <c r="J226" s="14">
        <v>42</v>
      </c>
      <c r="AA226" s="62"/>
    </row>
    <row r="227" spans="2:27" s="3" customFormat="1">
      <c r="B227" s="3" t="s">
        <v>115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  <c r="P227" s="137"/>
      <c r="W227" s="14"/>
      <c r="AA227" s="62"/>
    </row>
    <row r="228" spans="2:27" s="3" customFormat="1">
      <c r="B228" s="3" t="s">
        <v>116</v>
      </c>
      <c r="C228" s="14">
        <v>-19</v>
      </c>
      <c r="D228" s="14">
        <v>-13</v>
      </c>
      <c r="E228" s="14">
        <v>-12</v>
      </c>
      <c r="F228" s="14">
        <v>-21</v>
      </c>
      <c r="G228" s="14">
        <v>-16</v>
      </c>
      <c r="H228" s="14">
        <v>-15</v>
      </c>
      <c r="I228" s="14">
        <v>-18</v>
      </c>
      <c r="J228" s="14">
        <v>-19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2</v>
      </c>
      <c r="D232" s="14">
        <v>0</v>
      </c>
      <c r="E232" s="14">
        <v>0</v>
      </c>
      <c r="F232" s="14">
        <v>0</v>
      </c>
      <c r="G232" s="14">
        <v>0</v>
      </c>
      <c r="H232" s="14">
        <v>-1</v>
      </c>
      <c r="I232" s="14">
        <v>0</v>
      </c>
      <c r="J232" s="14">
        <v>1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-10</v>
      </c>
      <c r="G234" s="14">
        <v>0</v>
      </c>
      <c r="H234" s="14">
        <v>0</v>
      </c>
      <c r="I234" s="14">
        <v>0</v>
      </c>
      <c r="J234" s="14">
        <v>-2</v>
      </c>
      <c r="AA234" s="62"/>
    </row>
    <row r="235" spans="2:27">
      <c r="B235" s="3" t="s">
        <v>123</v>
      </c>
      <c r="C235" s="14">
        <v>-54</v>
      </c>
      <c r="D235" s="14">
        <v>16</v>
      </c>
      <c r="E235" s="14">
        <v>85</v>
      </c>
      <c r="F235" s="14">
        <v>126</v>
      </c>
      <c r="G235" s="14">
        <v>-67</v>
      </c>
      <c r="H235" s="14">
        <v>-2</v>
      </c>
      <c r="I235" s="14">
        <v>12</v>
      </c>
      <c r="J235" s="14">
        <v>33</v>
      </c>
      <c r="P235" s="67"/>
      <c r="W235" s="46"/>
    </row>
    <row r="236" spans="2:27">
      <c r="B236" s="3" t="s">
        <v>124</v>
      </c>
      <c r="C236" s="14">
        <v>182</v>
      </c>
      <c r="D236" s="14">
        <v>-58</v>
      </c>
      <c r="E236" s="14">
        <v>117</v>
      </c>
      <c r="F236" s="14">
        <v>-5</v>
      </c>
      <c r="G236" s="14">
        <v>54</v>
      </c>
      <c r="H236" s="14">
        <v>-67</v>
      </c>
      <c r="I236" s="14">
        <v>102</v>
      </c>
      <c r="J236" s="14">
        <v>-185</v>
      </c>
    </row>
    <row r="237" spans="2:27">
      <c r="B237" s="3" t="s">
        <v>125</v>
      </c>
      <c r="C237" s="14">
        <v>-22</v>
      </c>
      <c r="D237" s="14">
        <v>-86</v>
      </c>
      <c r="E237" s="14">
        <v>91</v>
      </c>
      <c r="F237" s="14">
        <v>-95</v>
      </c>
      <c r="G237" s="14">
        <v>111</v>
      </c>
      <c r="H237" s="14">
        <v>4</v>
      </c>
      <c r="I237" s="14">
        <v>-37</v>
      </c>
      <c r="J237" s="14">
        <v>-59</v>
      </c>
      <c r="P237" s="67"/>
      <c r="W237" s="46"/>
    </row>
    <row r="238" spans="2:27">
      <c r="B238" s="3" t="s">
        <v>126</v>
      </c>
      <c r="C238" s="14">
        <v>12</v>
      </c>
      <c r="D238" s="14">
        <v>-15</v>
      </c>
      <c r="E238" s="14">
        <v>3</v>
      </c>
      <c r="F238" s="14">
        <v>84</v>
      </c>
      <c r="G238" s="14">
        <v>-2</v>
      </c>
      <c r="H238" s="14">
        <v>77</v>
      </c>
      <c r="I238" s="14">
        <v>-100</v>
      </c>
      <c r="J238" s="14">
        <v>128</v>
      </c>
    </row>
    <row r="239" spans="2:27">
      <c r="B239" s="3" t="s">
        <v>19</v>
      </c>
      <c r="C239" s="14">
        <v>305</v>
      </c>
      <c r="D239" s="14">
        <v>44</v>
      </c>
      <c r="E239" s="14">
        <v>467</v>
      </c>
      <c r="F239" s="14">
        <v>272</v>
      </c>
      <c r="G239" s="14">
        <v>277</v>
      </c>
      <c r="H239" s="14">
        <v>157</v>
      </c>
      <c r="I239" s="14">
        <v>125</v>
      </c>
      <c r="J239" s="14">
        <v>82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-28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-34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1</v>
      </c>
      <c r="G243" s="14">
        <v>0</v>
      </c>
      <c r="H243" s="14">
        <v>1</v>
      </c>
      <c r="I243" s="14">
        <v>0</v>
      </c>
      <c r="J243" s="14">
        <v>0</v>
      </c>
      <c r="P243" s="67"/>
      <c r="W243" s="46"/>
    </row>
    <row r="244" spans="2:23">
      <c r="B244" s="3" t="s">
        <v>20</v>
      </c>
      <c r="C244" s="14">
        <v>-32</v>
      </c>
      <c r="D244" s="14">
        <v>-39</v>
      </c>
      <c r="E244" s="14">
        <v>-42</v>
      </c>
      <c r="F244" s="14">
        <v>-74</v>
      </c>
      <c r="G244" s="14">
        <v>-86</v>
      </c>
      <c r="H244" s="14">
        <v>-71</v>
      </c>
      <c r="I244" s="14">
        <v>-70</v>
      </c>
      <c r="J244" s="14">
        <v>-47</v>
      </c>
    </row>
    <row r="245" spans="2:23">
      <c r="B245" s="3" t="s">
        <v>130</v>
      </c>
      <c r="C245" s="14">
        <v>0</v>
      </c>
      <c r="D245" s="14">
        <v>0</v>
      </c>
      <c r="E245" s="14">
        <v>0</v>
      </c>
      <c r="F245" s="14">
        <v>0</v>
      </c>
      <c r="G245" s="14">
        <v>0</v>
      </c>
      <c r="H245" s="14">
        <v>0</v>
      </c>
      <c r="I245" s="14">
        <v>0</v>
      </c>
      <c r="J245" s="14">
        <v>0</v>
      </c>
      <c r="P245" s="67"/>
      <c r="W245" s="46"/>
    </row>
    <row r="246" spans="2:23">
      <c r="B246" s="3" t="s">
        <v>131</v>
      </c>
      <c r="C246" s="14">
        <v>-60</v>
      </c>
      <c r="D246" s="14">
        <v>-39</v>
      </c>
      <c r="E246" s="14">
        <v>-42</v>
      </c>
      <c r="F246" s="14">
        <v>-73</v>
      </c>
      <c r="G246" s="14">
        <v>-86</v>
      </c>
      <c r="H246" s="14">
        <v>-70</v>
      </c>
      <c r="I246" s="14">
        <v>-70</v>
      </c>
      <c r="J246" s="14">
        <v>-82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-390</v>
      </c>
      <c r="D248" s="14">
        <v>0</v>
      </c>
      <c r="E248" s="14">
        <v>0</v>
      </c>
      <c r="F248" s="14">
        <v>0</v>
      </c>
      <c r="G248" s="14">
        <v>-267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76</v>
      </c>
      <c r="D250" s="14">
        <v>23</v>
      </c>
      <c r="E250" s="14">
        <v>-160</v>
      </c>
      <c r="F250" s="14">
        <v>-195</v>
      </c>
      <c r="G250" s="14">
        <v>120</v>
      </c>
      <c r="H250" s="14">
        <v>-81</v>
      </c>
      <c r="I250" s="14">
        <v>-72</v>
      </c>
      <c r="J250" s="14">
        <v>-13</v>
      </c>
    </row>
    <row r="251" spans="2:23">
      <c r="B251" s="3" t="s">
        <v>136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0</v>
      </c>
      <c r="D255" s="14">
        <v>2</v>
      </c>
      <c r="E255" s="14">
        <v>0</v>
      </c>
      <c r="F255" s="14">
        <v>0</v>
      </c>
      <c r="G255" s="14">
        <v>-1</v>
      </c>
      <c r="H255" s="14">
        <v>1</v>
      </c>
      <c r="I255" s="14">
        <v>0</v>
      </c>
      <c r="J255" s="14">
        <v>1</v>
      </c>
      <c r="P255" s="67"/>
      <c r="W255" s="46"/>
    </row>
    <row r="256" spans="2:23">
      <c r="B256" s="3" t="s">
        <v>141</v>
      </c>
      <c r="C256" s="14">
        <v>-314</v>
      </c>
      <c r="D256" s="14">
        <v>25</v>
      </c>
      <c r="E256" s="14">
        <v>-160</v>
      </c>
      <c r="F256" s="14">
        <v>-195</v>
      </c>
      <c r="G256" s="14">
        <v>-148</v>
      </c>
      <c r="H256" s="14">
        <v>-80</v>
      </c>
      <c r="I256" s="14">
        <v>-72</v>
      </c>
      <c r="J256" s="14">
        <v>-12</v>
      </c>
    </row>
    <row r="257" spans="2:23">
      <c r="B257" s="3" t="s">
        <v>142</v>
      </c>
      <c r="C257" s="14">
        <v>0</v>
      </c>
      <c r="D257" s="14">
        <v>0</v>
      </c>
      <c r="E257" s="14">
        <v>0</v>
      </c>
      <c r="F257" s="14">
        <v>0</v>
      </c>
      <c r="G257" s="14">
        <v>0</v>
      </c>
      <c r="H257" s="14">
        <v>0</v>
      </c>
      <c r="I257" s="14">
        <v>0</v>
      </c>
      <c r="J257" s="14">
        <v>0</v>
      </c>
      <c r="P257" s="67"/>
      <c r="W257" s="46"/>
    </row>
    <row r="258" spans="2:23">
      <c r="B258" s="3" t="s">
        <v>143</v>
      </c>
      <c r="C258" s="14">
        <v>-69</v>
      </c>
      <c r="D258" s="14">
        <v>29</v>
      </c>
      <c r="E258" s="14">
        <v>265</v>
      </c>
      <c r="F258" s="14">
        <v>3</v>
      </c>
      <c r="G258" s="14">
        <v>43</v>
      </c>
      <c r="H258" s="14">
        <v>7</v>
      </c>
      <c r="I258" s="14">
        <v>-17</v>
      </c>
      <c r="J258" s="14">
        <v>-12</v>
      </c>
    </row>
    <row r="259" spans="2:23">
      <c r="B259" s="3" t="s">
        <v>144</v>
      </c>
      <c r="C259" s="14">
        <v>460</v>
      </c>
      <c r="D259" s="14">
        <v>430</v>
      </c>
      <c r="E259" s="14">
        <v>165</v>
      </c>
      <c r="F259" s="14">
        <v>162</v>
      </c>
      <c r="G259" s="14">
        <v>120</v>
      </c>
      <c r="H259" s="14">
        <v>112</v>
      </c>
      <c r="I259" s="14">
        <v>129</v>
      </c>
      <c r="J259" s="14">
        <v>141</v>
      </c>
      <c r="P259" s="67"/>
      <c r="W259" s="46"/>
    </row>
    <row r="260" spans="2:23">
      <c r="B260" s="3" t="s">
        <v>145</v>
      </c>
      <c r="C260" s="14">
        <v>391</v>
      </c>
      <c r="D260" s="14">
        <v>460</v>
      </c>
      <c r="E260" s="14">
        <v>430</v>
      </c>
      <c r="F260" s="14">
        <v>165</v>
      </c>
      <c r="G260" s="14">
        <v>162</v>
      </c>
      <c r="H260" s="14">
        <v>120</v>
      </c>
      <c r="I260" s="14">
        <v>112</v>
      </c>
      <c r="J260" s="14">
        <v>129</v>
      </c>
    </row>
    <row r="261" spans="2:23">
      <c r="B261" s="3" t="s">
        <v>146</v>
      </c>
      <c r="C261" s="14">
        <v>0</v>
      </c>
      <c r="D261" s="14">
        <v>0</v>
      </c>
      <c r="E261" s="14">
        <v>0</v>
      </c>
      <c r="F261" s="14">
        <v>1</v>
      </c>
      <c r="G261" s="14">
        <v>0</v>
      </c>
      <c r="H261" s="14">
        <v>0</v>
      </c>
      <c r="I261" s="14">
        <v>1</v>
      </c>
      <c r="J261" s="14">
        <v>1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</mergeCells>
  <phoneticPr fontId="2" type="noConversion"/>
  <hyperlinks>
    <hyperlink ref="N51" r:id="rId1" display="https://tw.stock.yahoo.com/q/bc?s=1773"/>
    <hyperlink ref="N52" r:id="rId2" display="https://tw.stock.yahoo.com/pf/pfsel?stocklist=1773;"/>
    <hyperlink ref="N54" r:id="rId3" display="https://tw.stock.yahoo.com/pf/pfsel?stocklist=1773;"/>
    <hyperlink ref="Y51" r:id="rId4" display="https://tw.stock.yahoo.com/q/ts?s=1773"/>
    <hyperlink ref="Y54" r:id="rId5" display="https://tw.rd.yahoo.com/referurl/stock/other/SIG=125v47s73/**https:/tw.screener.finance.yahoo.net/screener/check.html?symid=1773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68" r:id="rId10" name="CommandButton30"/>
    <control shapeId="1066" r:id="rId11" name="CommandButton29"/>
    <control shapeId="1065" r:id="rId12" name="CommandButton28"/>
    <control shapeId="1063" r:id="rId13" name="CommandButton27"/>
    <control shapeId="1061" r:id="rId14" name="CommandButton26"/>
    <control shapeId="1055" r:id="rId15" name="CommandButton21"/>
    <control shapeId="1054" r:id="rId16" name="CommandButton20"/>
    <control shapeId="1053" r:id="rId17" name="CommandButton19"/>
    <control shapeId="1051" r:id="rId18" name="CommandButton17"/>
    <control shapeId="1050" r:id="rId19" name="CommandButton16"/>
    <control shapeId="1049" r:id="rId20" name="CommandButton15"/>
    <control shapeId="1047" r:id="rId21" name="CommandButton14"/>
    <control shapeId="1045" r:id="rId22" name="CommandButton13"/>
    <control shapeId="1044" r:id="rId23" name="CommandButton12"/>
    <control shapeId="1042" r:id="rId24" name="CommandButton11"/>
    <control shapeId="1034" r:id="rId25" name="CommandButton0"/>
    <control shapeId="1033" r:id="rId26" name="CommandButton9"/>
    <control shapeId="1032" r:id="rId27" name="CommandButton8"/>
    <control shapeId="1031" r:id="rId28" name="CommandButton7"/>
    <control shapeId="1030" r:id="rId29" name="CommandButton6"/>
    <control shapeId="1029" r:id="rId30" name="CommandButton5"/>
    <control shapeId="1028" r:id="rId31" name="CommandButton4"/>
    <control shapeId="1027" r:id="rId32" name="CommandButton2"/>
    <control shapeId="1026" r:id="rId33" name="CommandButton1"/>
    <control shapeId="1025" r:id="rId34" name="ComboBox1"/>
    <control shapeId="1040" r:id="rId35" name="CommandButton3"/>
    <control shapeId="1056" r:id="rId36" name="CommandButton10"/>
    <control shapeId="1057" r:id="rId37" name="CommandButton22"/>
    <control shapeId="1058" r:id="rId38" name="CommandButton23"/>
    <control shapeId="1059" r:id="rId39" name="CommandButton24"/>
    <control shapeId="1060" r:id="rId40" name="CommandButton25"/>
    <control shapeId="1070" r:id="rId41" name="CommandButton3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zoomScaleNormal="100" workbookViewId="0">
      <pane xSplit="13" ySplit="3" topLeftCell="N117" activePane="bottomRight" state="frozen"/>
      <selection pane="topRight" activeCell="N1" sqref="N1"/>
      <selection pane="bottomLeft" activeCell="A4" sqref="A4"/>
      <selection pane="bottomRight" activeCell="A129" sqref="A129:XFD129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60">
        <f ca="1">NOW()</f>
        <v>42372.998313888886</v>
      </c>
      <c r="B1" s="361"/>
      <c r="C1" s="372" t="s">
        <v>1956</v>
      </c>
      <c r="D1" s="373"/>
      <c r="E1" s="373"/>
      <c r="F1" s="373"/>
      <c r="G1" s="374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62" t="s">
        <v>38</v>
      </c>
      <c r="B2" s="363"/>
      <c r="C2" s="364" t="s">
        <v>250</v>
      </c>
      <c r="D2" s="365"/>
      <c r="E2" s="365"/>
      <c r="F2" s="365"/>
      <c r="G2" s="366"/>
      <c r="H2" s="369" t="s">
        <v>253</v>
      </c>
      <c r="I2" s="370"/>
      <c r="J2" s="370"/>
      <c r="K2" s="370"/>
      <c r="L2" s="370"/>
      <c r="M2" s="371"/>
      <c r="N2" s="257" t="s">
        <v>1901</v>
      </c>
      <c r="O2" s="367" t="s">
        <v>1924</v>
      </c>
      <c r="P2" s="367"/>
      <c r="Q2" s="367"/>
      <c r="R2" s="367"/>
      <c r="S2" s="368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 s="317" customFormat="1">
      <c r="A70" s="309" t="str">
        <f>HYPERLINK("http://www.wantgoo.com/stock/chart.aspx?stockno=1262","1262")</f>
        <v>1262</v>
      </c>
      <c r="B70" s="310"/>
      <c r="C70" s="311">
        <f>VLOOKUP(1262,季財報!A:H,3)</f>
        <v>0</v>
      </c>
      <c r="D70" s="311">
        <f>VLOOKUP(1262,季財報!A:H,4)</f>
        <v>1</v>
      </c>
      <c r="E70" s="311">
        <f>VLOOKUP(1262,季財報!A:H,5)</f>
        <v>1</v>
      </c>
      <c r="F70" s="311">
        <f>VLOOKUP(1262,季財報!A:H,6)</f>
        <v>1</v>
      </c>
      <c r="G70" s="311">
        <f>VLOOKUP(1262,季財報!A:H,7)</f>
        <v>0</v>
      </c>
      <c r="H70" s="312"/>
      <c r="I70" s="312"/>
      <c r="J70" s="312"/>
      <c r="K70" s="312"/>
      <c r="L70" s="312"/>
      <c r="M70" s="313"/>
      <c r="N70" s="312">
        <f t="shared" si="1"/>
        <v>3</v>
      </c>
      <c r="O70" s="314"/>
      <c r="P70" s="314"/>
      <c r="Q70" s="314"/>
      <c r="R70" s="314"/>
      <c r="S70" s="315"/>
    </row>
    <row r="71" spans="1:19" s="317" customFormat="1">
      <c r="A71" s="309" t="str">
        <f>HYPERLINK("http://www.wantgoo.com/stock/chart.aspx?stockno=3299","3299")</f>
        <v>3299</v>
      </c>
      <c r="B71" s="310"/>
      <c r="C71" s="311">
        <f>VLOOKUP(3299,季財報!A:H,3)</f>
        <v>0</v>
      </c>
      <c r="D71" s="311">
        <f>VLOOKUP(3299,季財報!A:H,4)</f>
        <v>1</v>
      </c>
      <c r="E71" s="311">
        <f>VLOOKUP(3299,季財報!A:H,5)</f>
        <v>0</v>
      </c>
      <c r="F71" s="311">
        <f>VLOOKUP(3299,季財報!A:H,6)</f>
        <v>1</v>
      </c>
      <c r="G71" s="311">
        <f>VLOOKUP(3299,季財報!A:H,7)</f>
        <v>0</v>
      </c>
      <c r="H71" s="312"/>
      <c r="I71" s="312"/>
      <c r="J71" s="312"/>
      <c r="K71" s="312"/>
      <c r="L71" s="312"/>
      <c r="M71" s="313"/>
      <c r="N71" s="312">
        <f t="shared" si="1"/>
        <v>2</v>
      </c>
      <c r="O71" s="314"/>
      <c r="P71" s="314"/>
      <c r="Q71" s="314"/>
      <c r="R71" s="314"/>
      <c r="S71" s="315"/>
    </row>
    <row r="72" spans="1:19" s="317" customFormat="1">
      <c r="A72" s="309" t="str">
        <f>HYPERLINK("http://www.wantgoo.com/stock/chart.aspx?stockno=6216","6216")</f>
        <v>6216</v>
      </c>
      <c r="B72" s="310"/>
      <c r="C72" s="311">
        <f>VLOOKUP(6216,季財報!A:H,3)</f>
        <v>0</v>
      </c>
      <c r="D72" s="311">
        <f>VLOOKUP(6216,季財報!A:H,4)</f>
        <v>1</v>
      </c>
      <c r="E72" s="311">
        <f>VLOOKUP(6216,季財報!A:H,5)</f>
        <v>0</v>
      </c>
      <c r="F72" s="311">
        <f>VLOOKUP(6216,季財報!A:H,6)</f>
        <v>1</v>
      </c>
      <c r="G72" s="311">
        <f>VLOOKUP(6216,季財報!A:H,7)</f>
        <v>0</v>
      </c>
      <c r="H72" s="312"/>
      <c r="I72" s="312"/>
      <c r="J72" s="312"/>
      <c r="K72" s="312"/>
      <c r="L72" s="312"/>
      <c r="M72" s="313"/>
      <c r="N72" s="312">
        <f t="shared" si="1"/>
        <v>2</v>
      </c>
      <c r="O72" s="314"/>
      <c r="P72" s="314"/>
      <c r="Q72" s="314"/>
      <c r="R72" s="314"/>
      <c r="S72" s="315"/>
    </row>
    <row r="73" spans="1:19" s="317" customFormat="1">
      <c r="A73" s="309" t="str">
        <f>HYPERLINK("http://www.wantgoo.com/stock/chart.aspx?stockno=2441","2441")</f>
        <v>2441</v>
      </c>
      <c r="B73" s="310"/>
      <c r="C73" s="311">
        <f>VLOOKUP(2441,季財報!A:H,3)</f>
        <v>0</v>
      </c>
      <c r="D73" s="311">
        <f>VLOOKUP(2441,季財報!A:H,4)</f>
        <v>1</v>
      </c>
      <c r="E73" s="311">
        <f>VLOOKUP(2441,季財報!A:H,5)</f>
        <v>0</v>
      </c>
      <c r="F73" s="311">
        <f>VLOOKUP(2441,季財報!A:H,6)</f>
        <v>1</v>
      </c>
      <c r="G73" s="311">
        <f>VLOOKUP(2441,季財報!A:H,7)</f>
        <v>0</v>
      </c>
      <c r="H73" s="312"/>
      <c r="I73" s="312"/>
      <c r="J73" s="312"/>
      <c r="K73" s="312"/>
      <c r="L73" s="312"/>
      <c r="M73" s="313"/>
      <c r="N73" s="312">
        <f t="shared" si="1"/>
        <v>2</v>
      </c>
      <c r="O73" s="314"/>
      <c r="P73" s="314"/>
      <c r="Q73" s="314"/>
      <c r="R73" s="314"/>
      <c r="S73" s="315"/>
    </row>
    <row r="74" spans="1:19" s="317" customFormat="1">
      <c r="A74" s="309" t="str">
        <f>HYPERLINK("http://www.wantgoo.com/stock/chart.aspx?stockno=1527","1527")</f>
        <v>1527</v>
      </c>
      <c r="B74" s="310"/>
      <c r="C74" s="311">
        <f>VLOOKUP(1527,季財報!A:H,3)</f>
        <v>1</v>
      </c>
      <c r="D74" s="311">
        <f>VLOOKUP(1527,季財報!A:H,4)</f>
        <v>1</v>
      </c>
      <c r="E74" s="311">
        <f>VLOOKUP(1527,季財報!A:H,5)</f>
        <v>0</v>
      </c>
      <c r="F74" s="311">
        <f>VLOOKUP(1527,季財報!A:H,6)</f>
        <v>0</v>
      </c>
      <c r="G74" s="311">
        <f>VLOOKUP(1527,季財報!A:H,7)</f>
        <v>1</v>
      </c>
      <c r="H74" s="312"/>
      <c r="I74" s="312"/>
      <c r="J74" s="312"/>
      <c r="K74" s="312"/>
      <c r="L74" s="312"/>
      <c r="M74" s="313"/>
      <c r="N74" s="312">
        <f t="shared" si="1"/>
        <v>3</v>
      </c>
      <c r="O74" s="314"/>
      <c r="P74" s="314"/>
      <c r="Q74" s="314"/>
      <c r="R74" s="314"/>
      <c r="S74" s="315"/>
    </row>
    <row r="75" spans="1:19" s="317" customFormat="1">
      <c r="A75" s="309" t="str">
        <f>HYPERLINK("http://www.wantgoo.com/stock/chart.aspx?stockno=3264","3264")</f>
        <v>3264</v>
      </c>
      <c r="B75" s="310"/>
      <c r="C75" s="311">
        <f>VLOOKUP(3264,季財報!A:H,3)</f>
        <v>0</v>
      </c>
      <c r="D75" s="311">
        <f>VLOOKUP(3264,季財報!A:H,4)</f>
        <v>1</v>
      </c>
      <c r="E75" s="311">
        <f>VLOOKUP(3264,季財報!A:H,5)</f>
        <v>2</v>
      </c>
      <c r="F75" s="311">
        <f>VLOOKUP(3264,季財報!A:H,6)</f>
        <v>1</v>
      </c>
      <c r="G75" s="311">
        <f>VLOOKUP(3264,季財報!A:H,7)</f>
        <v>0</v>
      </c>
      <c r="H75" s="312"/>
      <c r="I75" s="312"/>
      <c r="J75" s="312"/>
      <c r="K75" s="312"/>
      <c r="L75" s="312"/>
      <c r="M75" s="313"/>
      <c r="N75" s="312">
        <f t="shared" si="1"/>
        <v>4</v>
      </c>
      <c r="O75" s="314"/>
      <c r="P75" s="314"/>
      <c r="Q75" s="314"/>
      <c r="R75" s="314"/>
      <c r="S75" s="315"/>
    </row>
    <row r="76" spans="1:19" s="317" customFormat="1">
      <c r="A76" s="309" t="str">
        <f>HYPERLINK("http://www.wantgoo.com/stock/chart.aspx?stockno=6185","6185")</f>
        <v>6185</v>
      </c>
      <c r="B76" s="310"/>
      <c r="C76" s="311">
        <f>VLOOKUP(6185,季財報!A:H,3)</f>
        <v>0</v>
      </c>
      <c r="D76" s="311">
        <f>VLOOKUP(6185,季財報!A:H,4)</f>
        <v>1</v>
      </c>
      <c r="E76" s="311">
        <f>VLOOKUP(6185,季財報!A:H,5)</f>
        <v>1</v>
      </c>
      <c r="F76" s="311">
        <f>VLOOKUP(6185,季財報!A:H,6)</f>
        <v>1</v>
      </c>
      <c r="G76" s="311">
        <f>VLOOKUP(6185,季財報!A:H,7)</f>
        <v>0</v>
      </c>
      <c r="H76" s="312"/>
      <c r="I76" s="312"/>
      <c r="J76" s="312"/>
      <c r="K76" s="312"/>
      <c r="L76" s="312"/>
      <c r="M76" s="313"/>
      <c r="N76" s="312">
        <f t="shared" si="1"/>
        <v>3</v>
      </c>
      <c r="O76" s="314"/>
      <c r="P76" s="314"/>
      <c r="Q76" s="314"/>
      <c r="R76" s="314"/>
      <c r="S76" s="315"/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 s="317" customFormat="1">
      <c r="A79" s="309" t="str">
        <f>HYPERLINK("http://www.wantgoo.com/stock/chart.aspx?stockno=3272","3272")</f>
        <v>3272</v>
      </c>
      <c r="B79" s="310"/>
      <c r="C79" s="311">
        <f>VLOOKUP(3272,季財報!A:H,3)</f>
        <v>0</v>
      </c>
      <c r="D79" s="311">
        <f>VLOOKUP(3272,季財報!A:H,4)</f>
        <v>1</v>
      </c>
      <c r="E79" s="311">
        <f>VLOOKUP(3272,季財報!A:H,5)</f>
        <v>1</v>
      </c>
      <c r="F79" s="311">
        <f>VLOOKUP(3272,季財報!A:H,6)</f>
        <v>1</v>
      </c>
      <c r="G79" s="311">
        <f>VLOOKUP(3272,季財報!A:H,7)</f>
        <v>0</v>
      </c>
      <c r="H79" s="312"/>
      <c r="I79" s="312"/>
      <c r="J79" s="312"/>
      <c r="K79" s="312"/>
      <c r="L79" s="312"/>
      <c r="M79" s="313"/>
      <c r="N79" s="312">
        <f t="shared" si="1"/>
        <v>3</v>
      </c>
      <c r="O79" s="314"/>
      <c r="P79" s="314"/>
      <c r="Q79" s="314"/>
      <c r="R79" s="314"/>
      <c r="S79" s="315"/>
    </row>
    <row r="80" spans="1:19" s="317" customFormat="1">
      <c r="A80" s="309" t="str">
        <f>HYPERLINK("http://www.wantgoo.com/stock/chart.aspx?stockno=2615","2615")</f>
        <v>2615</v>
      </c>
      <c r="B80" s="310"/>
      <c r="C80" s="311">
        <f>VLOOKUP(2615,季財報!A:H,3)</f>
        <v>0</v>
      </c>
      <c r="D80" s="311">
        <f>VLOOKUP(2615,季財報!A:H,4)</f>
        <v>1</v>
      </c>
      <c r="E80" s="311">
        <f>VLOOKUP(2615,季財報!A:H,5)</f>
        <v>0</v>
      </c>
      <c r="F80" s="311">
        <f>VLOOKUP(2615,季財報!A:H,6)</f>
        <v>1</v>
      </c>
      <c r="G80" s="311">
        <f>VLOOKUP(2615,季財報!A:H,7)</f>
        <v>0</v>
      </c>
      <c r="H80" s="312"/>
      <c r="I80" s="312"/>
      <c r="J80" s="312"/>
      <c r="K80" s="312"/>
      <c r="L80" s="312"/>
      <c r="M80" s="313"/>
      <c r="N80" s="312">
        <f t="shared" si="1"/>
        <v>2</v>
      </c>
      <c r="O80" s="314"/>
      <c r="P80" s="314"/>
      <c r="Q80" s="314"/>
      <c r="R80" s="314"/>
      <c r="S80" s="315"/>
    </row>
    <row r="81" spans="1:19" s="317" customFormat="1">
      <c r="A81" s="309" t="str">
        <f>HYPERLINK("http://www.wantgoo.com/stock/chart.aspx?stockno=6195","6195")</f>
        <v>6195</v>
      </c>
      <c r="B81" s="310"/>
      <c r="C81" s="311">
        <f>VLOOKUP(6195,季財報!A:H,3)</f>
        <v>0</v>
      </c>
      <c r="D81" s="311">
        <f>VLOOKUP(6195,季財報!A:H,4)</f>
        <v>0</v>
      </c>
      <c r="E81" s="311">
        <f>VLOOKUP(6195,季財報!A:H,5)</f>
        <v>0</v>
      </c>
      <c r="F81" s="311">
        <f>VLOOKUP(6195,季財報!A:H,6)</f>
        <v>0</v>
      </c>
      <c r="G81" s="311">
        <f>VLOOKUP(6195,季財報!A:H,7)</f>
        <v>0</v>
      </c>
      <c r="H81" s="312"/>
      <c r="I81" s="312"/>
      <c r="J81" s="312"/>
      <c r="K81" s="312"/>
      <c r="L81" s="312"/>
      <c r="M81" s="313"/>
      <c r="N81" s="312">
        <f t="shared" si="1"/>
        <v>0</v>
      </c>
      <c r="O81" s="314"/>
      <c r="P81" s="314"/>
      <c r="Q81" s="314"/>
      <c r="R81" s="314"/>
      <c r="S81" s="315"/>
    </row>
    <row r="82" spans="1:19" s="317" customFormat="1">
      <c r="A82" s="309" t="str">
        <f>HYPERLINK("http://www.wantgoo.com/stock/chart.aspx?stockno=4417","4417")</f>
        <v>4417</v>
      </c>
      <c r="B82" s="310"/>
      <c r="C82" s="311">
        <f>VLOOKUP(4417,季財報!A:H,3)</f>
        <v>0</v>
      </c>
      <c r="D82" s="311">
        <f>VLOOKUP(4417,季財報!A:H,4)</f>
        <v>1</v>
      </c>
      <c r="E82" s="311">
        <f>VLOOKUP(4417,季財報!A:H,5)</f>
        <v>1</v>
      </c>
      <c r="F82" s="311">
        <f>VLOOKUP(4417,季財報!A:H,6)</f>
        <v>1</v>
      </c>
      <c r="G82" s="311">
        <f>VLOOKUP(4417,季財報!A:H,7)</f>
        <v>0</v>
      </c>
      <c r="H82" s="312"/>
      <c r="I82" s="312"/>
      <c r="J82" s="312"/>
      <c r="K82" s="312"/>
      <c r="L82" s="312"/>
      <c r="M82" s="313"/>
      <c r="N82" s="312">
        <f t="shared" si="1"/>
        <v>3</v>
      </c>
      <c r="O82" s="314"/>
      <c r="P82" s="314"/>
      <c r="Q82" s="314"/>
      <c r="R82" s="314"/>
      <c r="S82" s="315"/>
    </row>
    <row r="83" spans="1:19" s="317" customFormat="1">
      <c r="A83" s="309" t="str">
        <f>HYPERLINK("http://www.wantgoo.com/stock/chart.aspx?stockno=2597","2597")</f>
        <v>2597</v>
      </c>
      <c r="B83" s="310"/>
      <c r="C83" s="311">
        <f>VLOOKUP(2597,季財報!A:H,3)</f>
        <v>0</v>
      </c>
      <c r="D83" s="311">
        <f>VLOOKUP(2597,季財報!A:H,4)</f>
        <v>1</v>
      </c>
      <c r="E83" s="311">
        <f>VLOOKUP(2597,季財報!A:H,5)</f>
        <v>0</v>
      </c>
      <c r="F83" s="311">
        <f>VLOOKUP(2597,季財報!A:H,6)</f>
        <v>1</v>
      </c>
      <c r="G83" s="311">
        <f>VLOOKUP(2597,季財報!A:H,7)</f>
        <v>0</v>
      </c>
      <c r="H83" s="312"/>
      <c r="I83" s="312"/>
      <c r="J83" s="312"/>
      <c r="K83" s="312"/>
      <c r="L83" s="312"/>
      <c r="M83" s="313"/>
      <c r="N83" s="312">
        <f t="shared" si="1"/>
        <v>2</v>
      </c>
      <c r="O83" s="314"/>
      <c r="P83" s="314"/>
      <c r="Q83" s="314"/>
      <c r="R83" s="314"/>
      <c r="S83" s="315"/>
    </row>
    <row r="84" spans="1:19" s="317" customFormat="1">
      <c r="A84" s="309" t="str">
        <f>HYPERLINK("http://www.wantgoo.com/stock/chart.aspx?stockno=1452","1452")</f>
        <v>1452</v>
      </c>
      <c r="B84" s="310"/>
      <c r="C84" s="311">
        <f>VLOOKUP(1452,季財報!A:H,3)</f>
        <v>0</v>
      </c>
      <c r="D84" s="311">
        <f>VLOOKUP(1452,季財報!A:H,4)</f>
        <v>1</v>
      </c>
      <c r="E84" s="311">
        <f>VLOOKUP(1452,季財報!A:H,5)</f>
        <v>0</v>
      </c>
      <c r="F84" s="311">
        <f>VLOOKUP(1452,季財報!A:H,6)</f>
        <v>1</v>
      </c>
      <c r="G84" s="311">
        <f>VLOOKUP(1452,季財報!A:H,7)</f>
        <v>0</v>
      </c>
      <c r="H84" s="312"/>
      <c r="I84" s="312"/>
      <c r="J84" s="312"/>
      <c r="K84" s="312"/>
      <c r="L84" s="312"/>
      <c r="M84" s="313"/>
      <c r="N84" s="312">
        <f t="shared" si="1"/>
        <v>2</v>
      </c>
      <c r="O84" s="314"/>
      <c r="P84" s="314"/>
      <c r="Q84" s="314"/>
      <c r="R84" s="314"/>
      <c r="S84" s="315"/>
    </row>
    <row r="85" spans="1:19" s="317" customFormat="1">
      <c r="A85" s="309" t="str">
        <f>HYPERLINK("http://www.wantgoo.com/stock/chart.aspx?stockno=2108","2108")</f>
        <v>2108</v>
      </c>
      <c r="B85" s="310"/>
      <c r="C85" s="311">
        <f>VLOOKUP(2108,季財報!A:H,3)</f>
        <v>1</v>
      </c>
      <c r="D85" s="311">
        <f>VLOOKUP(2108,季財報!A:H,4)</f>
        <v>1</v>
      </c>
      <c r="E85" s="311">
        <f>VLOOKUP(2108,季財報!A:H,5)</f>
        <v>0</v>
      </c>
      <c r="F85" s="311">
        <f>VLOOKUP(2108,季財報!A:H,6)</f>
        <v>1</v>
      </c>
      <c r="G85" s="311">
        <f>VLOOKUP(2108,季財報!A:H,7)</f>
        <v>0</v>
      </c>
      <c r="H85" s="312"/>
      <c r="I85" s="312"/>
      <c r="J85" s="312"/>
      <c r="K85" s="312"/>
      <c r="L85" s="312"/>
      <c r="M85" s="313"/>
      <c r="N85" s="312">
        <f t="shared" si="1"/>
        <v>3</v>
      </c>
      <c r="O85" s="314"/>
      <c r="P85" s="314"/>
      <c r="Q85" s="314"/>
      <c r="R85" s="314"/>
      <c r="S85" s="315"/>
    </row>
    <row r="86" spans="1:19" s="317" customFormat="1">
      <c r="A86" s="309" t="str">
        <f>HYPERLINK("http://www.wantgoo.com/stock/chart.aspx?stockno=1570","1570")</f>
        <v>1570</v>
      </c>
      <c r="B86" s="310"/>
      <c r="C86" s="311">
        <f>VLOOKUP(1570,季財報!A:H,3)</f>
        <v>1</v>
      </c>
      <c r="D86" s="311">
        <f>VLOOKUP(1570,季財報!A:H,4)</f>
        <v>1</v>
      </c>
      <c r="E86" s="311">
        <f>VLOOKUP(1570,季財報!A:H,5)</f>
        <v>2</v>
      </c>
      <c r="F86" s="311">
        <f>VLOOKUP(1570,季財報!A:H,6)</f>
        <v>1</v>
      </c>
      <c r="G86" s="311">
        <f>VLOOKUP(1570,季財報!A:H,7)</f>
        <v>0</v>
      </c>
      <c r="H86" s="312"/>
      <c r="I86" s="312"/>
      <c r="J86" s="312"/>
      <c r="K86" s="312"/>
      <c r="L86" s="312"/>
      <c r="M86" s="313"/>
      <c r="N86" s="312">
        <f t="shared" si="1"/>
        <v>5</v>
      </c>
      <c r="O86" s="314"/>
      <c r="P86" s="314"/>
      <c r="Q86" s="314"/>
      <c r="R86" s="314"/>
      <c r="S86" s="315"/>
    </row>
    <row r="87" spans="1:19" s="317" customFormat="1">
      <c r="A87" s="309" t="str">
        <f>HYPERLINK("http://www.wantgoo.com/stock/chart.aspx?stockno=2501","2501")</f>
        <v>2501</v>
      </c>
      <c r="B87" s="310"/>
      <c r="C87" s="311">
        <f>VLOOKUP(2501,季財報!A:H,3)</f>
        <v>0</v>
      </c>
      <c r="D87" s="311">
        <f>VLOOKUP(2501,季財報!A:H,4)</f>
        <v>0</v>
      </c>
      <c r="E87" s="311">
        <f>VLOOKUP(2501,季財報!A:H,5)</f>
        <v>0</v>
      </c>
      <c r="F87" s="311">
        <f>VLOOKUP(2501,季財報!A:H,6)</f>
        <v>0</v>
      </c>
      <c r="G87" s="311">
        <f>VLOOKUP(2501,季財報!A:H,7)</f>
        <v>0</v>
      </c>
      <c r="H87" s="312"/>
      <c r="I87" s="312"/>
      <c r="J87" s="312"/>
      <c r="K87" s="312"/>
      <c r="L87" s="312"/>
      <c r="M87" s="313"/>
      <c r="N87" s="312">
        <f t="shared" si="1"/>
        <v>0</v>
      </c>
      <c r="O87" s="314"/>
      <c r="P87" s="314"/>
      <c r="Q87" s="314"/>
      <c r="R87" s="314"/>
      <c r="S87" s="315"/>
    </row>
    <row r="88" spans="1:19" s="317" customFormat="1">
      <c r="A88" s="309" t="str">
        <f>HYPERLINK("http://www.wantgoo.com/stock/chart.aspx?stockno=6207","6207")</f>
        <v>6207</v>
      </c>
      <c r="B88" s="310"/>
      <c r="C88" s="311">
        <f>VLOOKUP(6207,季財報!A:H,3)</f>
        <v>1</v>
      </c>
      <c r="D88" s="311">
        <f>VLOOKUP(6207,季財報!A:H,4)</f>
        <v>1</v>
      </c>
      <c r="E88" s="311">
        <f>VLOOKUP(6207,季財報!A:H,5)</f>
        <v>1</v>
      </c>
      <c r="F88" s="311">
        <f>VLOOKUP(6207,季財報!A:H,6)</f>
        <v>1</v>
      </c>
      <c r="G88" s="311">
        <f>VLOOKUP(6207,季財報!A:H,7)</f>
        <v>0</v>
      </c>
      <c r="H88" s="312"/>
      <c r="I88" s="312"/>
      <c r="J88" s="312"/>
      <c r="K88" s="312"/>
      <c r="L88" s="312"/>
      <c r="M88" s="313"/>
      <c r="N88" s="312">
        <f t="shared" si="1"/>
        <v>4</v>
      </c>
      <c r="O88" s="314"/>
      <c r="P88" s="314"/>
      <c r="Q88" s="314"/>
      <c r="R88" s="314"/>
      <c r="S88" s="315"/>
    </row>
    <row r="89" spans="1:19" s="317" customFormat="1">
      <c r="A89" s="309" t="str">
        <f>HYPERLINK("http://www.wantgoo.com/stock/chart.aspx?stockno=5201","5201")</f>
        <v>5201</v>
      </c>
      <c r="B89" s="310"/>
      <c r="C89" s="311">
        <f>VLOOKUP(5201,季財報!A:H,3)</f>
        <v>1</v>
      </c>
      <c r="D89" s="311">
        <f>VLOOKUP(5201,季財報!A:H,4)</f>
        <v>1</v>
      </c>
      <c r="E89" s="311">
        <f>VLOOKUP(5201,季財報!A:H,5)</f>
        <v>2</v>
      </c>
      <c r="F89" s="311">
        <f>VLOOKUP(5201,季財報!A:H,6)</f>
        <v>0</v>
      </c>
      <c r="G89" s="311">
        <f>VLOOKUP(5201,季財報!A:H,7)</f>
        <v>0</v>
      </c>
      <c r="H89" s="312"/>
      <c r="I89" s="312"/>
      <c r="J89" s="312"/>
      <c r="K89" s="312"/>
      <c r="L89" s="312"/>
      <c r="M89" s="313"/>
      <c r="N89" s="312">
        <f t="shared" si="1"/>
        <v>4</v>
      </c>
      <c r="O89" s="314"/>
      <c r="P89" s="314"/>
      <c r="Q89" s="314"/>
      <c r="R89" s="314"/>
      <c r="S89" s="315"/>
    </row>
    <row r="90" spans="1:19" s="317" customFormat="1">
      <c r="A90" s="309" t="str">
        <f>HYPERLINK("http://www.wantgoo.com/stock/chart.aspx?stockno=4974","4974")</f>
        <v>4974</v>
      </c>
      <c r="B90" s="310"/>
      <c r="C90" s="311">
        <f>VLOOKUP(4974,季財報!A:H,3)</f>
        <v>1</v>
      </c>
      <c r="D90" s="311">
        <f>VLOOKUP(4974,季財報!A:H,4)</f>
        <v>1</v>
      </c>
      <c r="E90" s="311">
        <f>VLOOKUP(4974,季財報!A:H,5)</f>
        <v>0</v>
      </c>
      <c r="F90" s="311">
        <f>VLOOKUP(4974,季財報!A:H,6)</f>
        <v>0</v>
      </c>
      <c r="G90" s="311">
        <f>VLOOKUP(4974,季財報!A:H,7)</f>
        <v>0</v>
      </c>
      <c r="H90" s="312"/>
      <c r="I90" s="312"/>
      <c r="J90" s="312"/>
      <c r="K90" s="312"/>
      <c r="L90" s="312"/>
      <c r="M90" s="313"/>
      <c r="N90" s="312">
        <f t="shared" si="1"/>
        <v>2</v>
      </c>
      <c r="O90" s="314"/>
      <c r="P90" s="314"/>
      <c r="Q90" s="314"/>
      <c r="R90" s="314"/>
      <c r="S90" s="315"/>
    </row>
    <row r="91" spans="1:19" s="317" customFormat="1">
      <c r="A91" s="309" t="str">
        <f>HYPERLINK("http://www.wantgoo.com/stock/chart.aspx?stockno=2488","2488")</f>
        <v>2488</v>
      </c>
      <c r="B91" s="310"/>
      <c r="C91" s="311">
        <f>VLOOKUP(2488,季財報!A:H,3)</f>
        <v>1</v>
      </c>
      <c r="D91" s="311">
        <f>VLOOKUP(2488,季財報!A:H,4)</f>
        <v>1</v>
      </c>
      <c r="E91" s="311">
        <f>VLOOKUP(2488,季財報!A:H,5)</f>
        <v>1</v>
      </c>
      <c r="F91" s="311">
        <f>VLOOKUP(2488,季財報!A:H,6)</f>
        <v>1</v>
      </c>
      <c r="G91" s="311">
        <f>VLOOKUP(2488,季財報!A:H,7)</f>
        <v>0</v>
      </c>
      <c r="H91" s="312"/>
      <c r="I91" s="312"/>
      <c r="J91" s="312"/>
      <c r="K91" s="312"/>
      <c r="L91" s="312"/>
      <c r="M91" s="313"/>
      <c r="N91" s="312">
        <f t="shared" si="1"/>
        <v>4</v>
      </c>
      <c r="O91" s="314"/>
      <c r="P91" s="314"/>
      <c r="Q91" s="314"/>
      <c r="R91" s="314"/>
      <c r="S91" s="315"/>
    </row>
    <row r="92" spans="1:19" s="317" customFormat="1">
      <c r="A92" s="309" t="str">
        <f>HYPERLINK("http://www.wantgoo.com/stock/chart.aspx?stockno=2451","2451")</f>
        <v>2451</v>
      </c>
      <c r="B92" s="310"/>
      <c r="C92" s="311">
        <f>VLOOKUP(2451,季財報!A:H,3)</f>
        <v>1</v>
      </c>
      <c r="D92" s="311">
        <f>VLOOKUP(2451,季財報!A:H,4)</f>
        <v>1</v>
      </c>
      <c r="E92" s="311">
        <f>VLOOKUP(2451,季財報!A:H,5)</f>
        <v>0</v>
      </c>
      <c r="F92" s="311">
        <f>VLOOKUP(2451,季財報!A:H,6)</f>
        <v>1</v>
      </c>
      <c r="G92" s="311">
        <f>VLOOKUP(2451,季財報!A:H,7)</f>
        <v>0</v>
      </c>
      <c r="H92" s="312"/>
      <c r="I92" s="312"/>
      <c r="J92" s="312"/>
      <c r="K92" s="312"/>
      <c r="L92" s="312"/>
      <c r="M92" s="313"/>
      <c r="N92" s="312">
        <f t="shared" si="1"/>
        <v>3</v>
      </c>
      <c r="O92" s="314"/>
      <c r="P92" s="314"/>
      <c r="Q92" s="314"/>
      <c r="R92" s="314"/>
      <c r="S92" s="315"/>
    </row>
    <row r="93" spans="1:19" s="317" customFormat="1">
      <c r="A93" s="309" t="str">
        <f>HYPERLINK("http://www.wantgoo.com/stock/chart.aspx?stockno=6120","6120")</f>
        <v>6120</v>
      </c>
      <c r="B93" s="310"/>
      <c r="C93" s="311">
        <f>VLOOKUP(6120,季財報!A:H,3)</f>
        <v>0</v>
      </c>
      <c r="D93" s="311">
        <f>VLOOKUP(6120,季財報!A:H,4)</f>
        <v>0</v>
      </c>
      <c r="E93" s="311">
        <f>VLOOKUP(6120,季財報!A:H,5)</f>
        <v>0</v>
      </c>
      <c r="F93" s="311">
        <f>VLOOKUP(6120,季財報!A:H,6)</f>
        <v>0</v>
      </c>
      <c r="G93" s="311">
        <f>VLOOKUP(6120,季財報!A:H,7)</f>
        <v>0</v>
      </c>
      <c r="H93" s="312"/>
      <c r="I93" s="312"/>
      <c r="J93" s="312"/>
      <c r="K93" s="312"/>
      <c r="L93" s="312"/>
      <c r="M93" s="313"/>
      <c r="N93" s="312">
        <f t="shared" si="1"/>
        <v>0</v>
      </c>
      <c r="O93" s="314"/>
      <c r="P93" s="314"/>
      <c r="Q93" s="314"/>
      <c r="R93" s="314"/>
      <c r="S93" s="315"/>
    </row>
    <row r="94" spans="1:19" s="317" customFormat="1">
      <c r="A94" s="309" t="str">
        <f>HYPERLINK("http://www.wantgoo.com/stock/chart.aspx?stockno=3693","3693")</f>
        <v>3693</v>
      </c>
      <c r="B94" s="310"/>
      <c r="C94" s="311">
        <f>VLOOKUP(3693,季財報!A:H,3)</f>
        <v>1</v>
      </c>
      <c r="D94" s="311">
        <f>VLOOKUP(3693,季財報!A:H,4)</f>
        <v>1</v>
      </c>
      <c r="E94" s="311">
        <f>VLOOKUP(3693,季財報!A:H,5)</f>
        <v>1</v>
      </c>
      <c r="F94" s="311">
        <f>VLOOKUP(3693,季財報!A:H,6)</f>
        <v>1</v>
      </c>
      <c r="G94" s="311">
        <f>VLOOKUP(3693,季財報!A:H,7)</f>
        <v>0</v>
      </c>
      <c r="H94" s="312"/>
      <c r="I94" s="312"/>
      <c r="J94" s="312"/>
      <c r="K94" s="312"/>
      <c r="L94" s="312"/>
      <c r="M94" s="313"/>
      <c r="N94" s="312">
        <f t="shared" si="1"/>
        <v>4</v>
      </c>
      <c r="O94" s="314"/>
      <c r="P94" s="314"/>
      <c r="Q94" s="314"/>
      <c r="R94" s="314"/>
      <c r="S94" s="315"/>
    </row>
    <row r="95" spans="1:19" s="317" customFormat="1">
      <c r="A95" s="309" t="str">
        <f>HYPERLINK("http://www.wantgoo.com/stock/chart.aspx?stockno=2330","2330")</f>
        <v>2330</v>
      </c>
      <c r="B95" s="310"/>
      <c r="C95" s="311">
        <f>VLOOKUP(2330,季財報!A:H,3)</f>
        <v>0</v>
      </c>
      <c r="D95" s="311">
        <f>VLOOKUP(2330,季財報!A:H,4)</f>
        <v>0</v>
      </c>
      <c r="E95" s="311">
        <f>VLOOKUP(2330,季財報!A:H,5)</f>
        <v>1</v>
      </c>
      <c r="F95" s="311">
        <f>VLOOKUP(2330,季財報!A:H,6)</f>
        <v>1</v>
      </c>
      <c r="G95" s="311">
        <f>VLOOKUP(2330,季財報!A:H,7)</f>
        <v>0</v>
      </c>
      <c r="H95" s="312"/>
      <c r="I95" s="312"/>
      <c r="J95" s="312"/>
      <c r="K95" s="312"/>
      <c r="L95" s="312"/>
      <c r="M95" s="313"/>
      <c r="N95" s="312">
        <f t="shared" si="1"/>
        <v>2</v>
      </c>
      <c r="O95" s="314"/>
      <c r="P95" s="314"/>
      <c r="Q95" s="314"/>
      <c r="R95" s="314"/>
      <c r="S95" s="315"/>
    </row>
    <row r="96" spans="1:19" s="317" customFormat="1">
      <c r="A96" s="309" t="str">
        <f>HYPERLINK("http://www.wantgoo.com/stock/chart.aspx?stockno=4995","4995")</f>
        <v>4995</v>
      </c>
      <c r="B96" s="310"/>
      <c r="C96" s="311">
        <f>VLOOKUP(4995,季財報!A:H,3)</f>
        <v>0</v>
      </c>
      <c r="D96" s="311">
        <f>VLOOKUP(4995,季財報!A:H,4)</f>
        <v>1</v>
      </c>
      <c r="E96" s="311">
        <f>VLOOKUP(4995,季財報!A:H,5)</f>
        <v>0</v>
      </c>
      <c r="F96" s="311">
        <f>VLOOKUP(4995,季財報!A:H,6)</f>
        <v>1</v>
      </c>
      <c r="G96" s="311">
        <f>VLOOKUP(4995,季財報!A:H,7)</f>
        <v>0</v>
      </c>
      <c r="H96" s="312"/>
      <c r="I96" s="312"/>
      <c r="J96" s="312"/>
      <c r="K96" s="312"/>
      <c r="L96" s="312"/>
      <c r="M96" s="313"/>
      <c r="N96" s="312">
        <f t="shared" si="1"/>
        <v>2</v>
      </c>
      <c r="O96" s="314"/>
      <c r="P96" s="314"/>
      <c r="Q96" s="314"/>
      <c r="R96" s="314"/>
      <c r="S96" s="315"/>
    </row>
    <row r="97" spans="1:19" s="317" customFormat="1">
      <c r="A97" s="309" t="str">
        <f>HYPERLINK("http://www.wantgoo.com/stock/chart.aspx?stockno=8942","8942")</f>
        <v>8942</v>
      </c>
      <c r="B97" s="310"/>
      <c r="C97" s="311">
        <f>VLOOKUP(8942,季財報!A:H,3)</f>
        <v>1</v>
      </c>
      <c r="D97" s="311">
        <f>VLOOKUP(8942,季財報!A:H,4)</f>
        <v>1</v>
      </c>
      <c r="E97" s="311">
        <f>VLOOKUP(8942,季財報!A:H,5)</f>
        <v>0</v>
      </c>
      <c r="F97" s="311">
        <f>VLOOKUP(8942,季財報!A:H,6)</f>
        <v>1</v>
      </c>
      <c r="G97" s="311">
        <f>VLOOKUP(8942,季財報!A:H,7)</f>
        <v>0</v>
      </c>
      <c r="H97" s="312"/>
      <c r="I97" s="312"/>
      <c r="J97" s="312"/>
      <c r="K97" s="312"/>
      <c r="L97" s="312"/>
      <c r="M97" s="313"/>
      <c r="N97" s="312">
        <f t="shared" si="1"/>
        <v>3</v>
      </c>
      <c r="O97" s="314"/>
      <c r="P97" s="314"/>
      <c r="Q97" s="314"/>
      <c r="R97" s="314"/>
      <c r="S97" s="315"/>
    </row>
    <row r="98" spans="1:19" s="317" customFormat="1">
      <c r="A98" s="309" t="str">
        <f>HYPERLINK("http://www.wantgoo.com/stock/chart.aspx?stockno=1582","1582")</f>
        <v>1582</v>
      </c>
      <c r="B98" s="310"/>
      <c r="C98" s="311">
        <f>VLOOKUP(1582,季財報!A:H,3)</f>
        <v>1</v>
      </c>
      <c r="D98" s="311">
        <f>VLOOKUP(1582,季財報!A:H,4)</f>
        <v>1</v>
      </c>
      <c r="E98" s="311">
        <f>VLOOKUP(1582,季財報!A:H,5)</f>
        <v>0</v>
      </c>
      <c r="F98" s="311">
        <f>VLOOKUP(1582,季財報!A:H,6)</f>
        <v>1</v>
      </c>
      <c r="G98" s="311">
        <f>VLOOKUP(1582,季財報!A:H,7)</f>
        <v>0</v>
      </c>
      <c r="H98" s="312"/>
      <c r="I98" s="312"/>
      <c r="J98" s="312"/>
      <c r="K98" s="312"/>
      <c r="L98" s="312"/>
      <c r="M98" s="313"/>
      <c r="N98" s="312">
        <f t="shared" si="1"/>
        <v>3</v>
      </c>
      <c r="O98" s="314"/>
      <c r="P98" s="314"/>
      <c r="Q98" s="314"/>
      <c r="R98" s="314"/>
      <c r="S98" s="315"/>
    </row>
    <row r="99" spans="1:19" s="317" customFormat="1">
      <c r="A99" s="309" t="str">
        <f>HYPERLINK("http://www.wantgoo.com/stock/chart.aspx?stockno=8905","8905")</f>
        <v>8905</v>
      </c>
      <c r="B99" s="310"/>
      <c r="C99" s="311">
        <f>VLOOKUP(8905,季財報!A:H,3)</f>
        <v>0</v>
      </c>
      <c r="D99" s="311">
        <f>VLOOKUP(8905,季財報!A:H,4)</f>
        <v>1</v>
      </c>
      <c r="E99" s="311">
        <f>VLOOKUP(8905,季財報!A:H,5)</f>
        <v>0</v>
      </c>
      <c r="F99" s="311">
        <f>VLOOKUP(8905,季財報!A:H,6)</f>
        <v>0</v>
      </c>
      <c r="G99" s="311">
        <f>VLOOKUP(8905,季財報!A:H,7)</f>
        <v>0</v>
      </c>
      <c r="H99" s="312"/>
      <c r="I99" s="312"/>
      <c r="J99" s="312"/>
      <c r="K99" s="312"/>
      <c r="L99" s="312"/>
      <c r="M99" s="313"/>
      <c r="N99" s="312">
        <f t="shared" si="1"/>
        <v>1</v>
      </c>
      <c r="O99" s="314"/>
      <c r="P99" s="314"/>
      <c r="Q99" s="314"/>
      <c r="R99" s="314"/>
      <c r="S99" s="315"/>
    </row>
    <row r="100" spans="1:19" s="317" customFormat="1">
      <c r="A100" s="309" t="str">
        <f>HYPERLINK("http://www.wantgoo.com/stock/chart.aspx?stockno=2404","2404")</f>
        <v>2404</v>
      </c>
      <c r="B100" s="310"/>
      <c r="C100" s="311">
        <f>VLOOKUP(2404,季財報!A:H,3)</f>
        <v>0</v>
      </c>
      <c r="D100" s="311">
        <f>VLOOKUP(2404,季財報!A:H,4)</f>
        <v>1</v>
      </c>
      <c r="E100" s="311">
        <f>VLOOKUP(2404,季財報!A:H,5)</f>
        <v>1</v>
      </c>
      <c r="F100" s="311">
        <f>VLOOKUP(2404,季財報!A:H,6)</f>
        <v>1</v>
      </c>
      <c r="G100" s="311">
        <f>VLOOKUP(2404,季財報!A:H,7)</f>
        <v>0</v>
      </c>
      <c r="H100" s="312"/>
      <c r="I100" s="312"/>
      <c r="J100" s="312"/>
      <c r="K100" s="312"/>
      <c r="L100" s="312"/>
      <c r="M100" s="313"/>
      <c r="N100" s="312">
        <f t="shared" si="1"/>
        <v>3</v>
      </c>
      <c r="O100" s="314"/>
      <c r="P100" s="314"/>
      <c r="Q100" s="314"/>
      <c r="R100" s="314"/>
      <c r="S100" s="315"/>
    </row>
    <row r="101" spans="1:19" s="317" customFormat="1">
      <c r="A101" s="309" t="str">
        <f>HYPERLINK("http://www.wantgoo.com/stock/chart.aspx?stockno=5234","5234")</f>
        <v>5234</v>
      </c>
      <c r="B101" s="310"/>
      <c r="C101" s="311">
        <f>VLOOKUP(5234,季財報!A:H,3)</f>
        <v>0</v>
      </c>
      <c r="D101" s="311">
        <f>VLOOKUP(5234,季財報!A:H,4)</f>
        <v>1</v>
      </c>
      <c r="E101" s="311">
        <f>VLOOKUP(5234,季財報!A:H,5)</f>
        <v>1</v>
      </c>
      <c r="F101" s="311">
        <f>VLOOKUP(5234,季財報!A:H,6)</f>
        <v>1</v>
      </c>
      <c r="G101" s="311">
        <f>VLOOKUP(5234,季財報!A:H,7)</f>
        <v>0</v>
      </c>
      <c r="H101" s="312"/>
      <c r="I101" s="312"/>
      <c r="J101" s="312"/>
      <c r="K101" s="312"/>
      <c r="L101" s="312"/>
      <c r="M101" s="313"/>
      <c r="N101" s="312">
        <f t="shared" si="1"/>
        <v>3</v>
      </c>
      <c r="O101" s="314"/>
      <c r="P101" s="314"/>
      <c r="Q101" s="314"/>
      <c r="R101" s="314"/>
      <c r="S101" s="315"/>
    </row>
    <row r="102" spans="1:19" s="317" customFormat="1">
      <c r="A102" s="309" t="str">
        <f>HYPERLINK("http://www.wantgoo.com/stock/chart.aspx?stockno=5534","5534")</f>
        <v>5534</v>
      </c>
      <c r="B102" s="310"/>
      <c r="C102" s="311">
        <f>VLOOKUP(5534,季財報!A:H,3)</f>
        <v>0</v>
      </c>
      <c r="D102" s="311">
        <f>VLOOKUP(5534,季財報!A:H,4)</f>
        <v>1</v>
      </c>
      <c r="E102" s="311">
        <f>VLOOKUP(5534,季財報!A:H,5)</f>
        <v>0</v>
      </c>
      <c r="F102" s="311">
        <f>VLOOKUP(5534,季財報!A:H,6)</f>
        <v>1</v>
      </c>
      <c r="G102" s="311">
        <f>VLOOKUP(5534,季財報!A:H,7)</f>
        <v>0</v>
      </c>
      <c r="H102" s="312"/>
      <c r="I102" s="312"/>
      <c r="J102" s="312"/>
      <c r="K102" s="312"/>
      <c r="L102" s="312"/>
      <c r="M102" s="313"/>
      <c r="N102" s="312">
        <f t="shared" si="1"/>
        <v>2</v>
      </c>
      <c r="O102" s="314"/>
      <c r="P102" s="314"/>
      <c r="Q102" s="314"/>
      <c r="R102" s="314"/>
      <c r="S102" s="315"/>
    </row>
    <row r="103" spans="1:19" s="317" customFormat="1">
      <c r="A103" s="309" t="str">
        <f>HYPERLINK("http://www.wantgoo.com/stock/chart.aspx?stockno=8420","8420")</f>
        <v>8420</v>
      </c>
      <c r="B103" s="310"/>
      <c r="C103" s="311">
        <f>VLOOKUP(8420,季財報!A:H,3)</f>
        <v>0</v>
      </c>
      <c r="D103" s="311">
        <f>VLOOKUP(8420,季財報!A:H,4)</f>
        <v>1</v>
      </c>
      <c r="E103" s="311">
        <f>VLOOKUP(8420,季財報!A:H,5)</f>
        <v>0</v>
      </c>
      <c r="F103" s="311">
        <f>VLOOKUP(8420,季財報!A:H,6)</f>
        <v>1</v>
      </c>
      <c r="G103" s="311">
        <f>VLOOKUP(8420,季財報!A:H,7)</f>
        <v>0</v>
      </c>
      <c r="H103" s="312"/>
      <c r="I103" s="312"/>
      <c r="J103" s="312"/>
      <c r="K103" s="312"/>
      <c r="L103" s="312"/>
      <c r="M103" s="313"/>
      <c r="N103" s="312">
        <f t="shared" si="1"/>
        <v>2</v>
      </c>
      <c r="O103" s="314"/>
      <c r="P103" s="314"/>
      <c r="Q103" s="314"/>
      <c r="R103" s="314"/>
      <c r="S103" s="315"/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 s="317" customFormat="1">
      <c r="A105" s="309" t="str">
        <f>HYPERLINK("http://www.wantgoo.com/stock/chart.aspx?stockno=5464","5464")</f>
        <v>5464</v>
      </c>
      <c r="B105" s="310"/>
      <c r="C105" s="311">
        <f>VLOOKUP(5464,季財報!A:H,3)</f>
        <v>0</v>
      </c>
      <c r="D105" s="311">
        <f>VLOOKUP(5464,季財報!A:H,4)</f>
        <v>1</v>
      </c>
      <c r="E105" s="311">
        <f>VLOOKUP(5464,季財報!A:H,5)</f>
        <v>0</v>
      </c>
      <c r="F105" s="311">
        <f>VLOOKUP(5464,季財報!A:H,6)</f>
        <v>1</v>
      </c>
      <c r="G105" s="311">
        <f>VLOOKUP(5464,季財報!A:H,7)</f>
        <v>0</v>
      </c>
      <c r="H105" s="312"/>
      <c r="I105" s="312"/>
      <c r="J105" s="312"/>
      <c r="K105" s="312"/>
      <c r="L105" s="312"/>
      <c r="M105" s="313"/>
      <c r="N105" s="312">
        <f t="shared" si="1"/>
        <v>2</v>
      </c>
      <c r="O105" s="314"/>
      <c r="P105" s="314"/>
      <c r="Q105" s="314"/>
      <c r="R105" s="314"/>
      <c r="S105" s="315"/>
    </row>
    <row r="106" spans="1:19" s="317" customFormat="1">
      <c r="A106" s="309" t="str">
        <f>HYPERLINK("http://www.wantgoo.com/stock/chart.aspx?stockno=1583","1583")</f>
        <v>1583</v>
      </c>
      <c r="B106" s="310"/>
      <c r="C106" s="311">
        <f>VLOOKUP(1583,季財報!A:H,3)</f>
        <v>0</v>
      </c>
      <c r="D106" s="311">
        <f>VLOOKUP(1583,季財報!A:H,4)</f>
        <v>1</v>
      </c>
      <c r="E106" s="311">
        <f>VLOOKUP(1583,季財報!A:H,5)</f>
        <v>0</v>
      </c>
      <c r="F106" s="311">
        <f>VLOOKUP(1583,季財報!A:H,6)</f>
        <v>0</v>
      </c>
      <c r="G106" s="311">
        <f>VLOOKUP(1583,季財報!A:H,7)</f>
        <v>0</v>
      </c>
      <c r="H106" s="312"/>
      <c r="I106" s="312"/>
      <c r="J106" s="312"/>
      <c r="K106" s="312"/>
      <c r="L106" s="312"/>
      <c r="M106" s="313"/>
      <c r="N106" s="312">
        <f t="shared" si="1"/>
        <v>1</v>
      </c>
      <c r="O106" s="314"/>
      <c r="P106" s="314"/>
      <c r="Q106" s="314"/>
      <c r="R106" s="314"/>
      <c r="S106" s="315"/>
    </row>
    <row r="107" spans="1:19" s="317" customFormat="1">
      <c r="A107" s="309" t="str">
        <f>HYPERLINK("http://www.wantgoo.com/stock/chart.aspx?stockno=5603","5603")</f>
        <v>5603</v>
      </c>
      <c r="B107" s="310"/>
      <c r="C107" s="311">
        <f>VLOOKUP(5603,季財報!A:H,3)</f>
        <v>0</v>
      </c>
      <c r="D107" s="311">
        <f>VLOOKUP(5603,季財報!A:H,4)</f>
        <v>1</v>
      </c>
      <c r="E107" s="311">
        <f>VLOOKUP(5603,季財報!A:H,5)</f>
        <v>0</v>
      </c>
      <c r="F107" s="311">
        <f>VLOOKUP(5603,季財報!A:H,6)</f>
        <v>1</v>
      </c>
      <c r="G107" s="311">
        <f>VLOOKUP(5603,季財報!A:H,7)</f>
        <v>0</v>
      </c>
      <c r="H107" s="312"/>
      <c r="I107" s="312"/>
      <c r="J107" s="312"/>
      <c r="K107" s="312"/>
      <c r="L107" s="312"/>
      <c r="M107" s="313"/>
      <c r="N107" s="312">
        <f t="shared" si="1"/>
        <v>2</v>
      </c>
      <c r="O107" s="314"/>
      <c r="P107" s="314"/>
      <c r="Q107" s="314"/>
      <c r="R107" s="314"/>
      <c r="S107" s="315"/>
    </row>
    <row r="108" spans="1:19" s="317" customFormat="1">
      <c r="A108" s="309" t="str">
        <f>HYPERLINK("http://www.wantgoo.com/stock/chart.aspx?stockno=3034","3034")</f>
        <v>3034</v>
      </c>
      <c r="B108" s="310"/>
      <c r="C108" s="311">
        <f>VLOOKUP(3034,季財報!A:H,3)</f>
        <v>0</v>
      </c>
      <c r="D108" s="311">
        <f>VLOOKUP(3034,季財報!A:H,4)</f>
        <v>1</v>
      </c>
      <c r="E108" s="311">
        <f>VLOOKUP(3034,季財報!A:H,5)</f>
        <v>1</v>
      </c>
      <c r="F108" s="311">
        <f>VLOOKUP(3034,季財報!A:H,6)</f>
        <v>1</v>
      </c>
      <c r="G108" s="311">
        <f>VLOOKUP(3034,季財報!A:H,7)</f>
        <v>0</v>
      </c>
      <c r="H108" s="312"/>
      <c r="I108" s="312"/>
      <c r="J108" s="312"/>
      <c r="K108" s="312"/>
      <c r="L108" s="312"/>
      <c r="M108" s="313"/>
      <c r="N108" s="312">
        <f t="shared" si="1"/>
        <v>3</v>
      </c>
      <c r="O108" s="314"/>
      <c r="P108" s="314"/>
      <c r="Q108" s="314"/>
      <c r="R108" s="314"/>
      <c r="S108" s="315"/>
    </row>
    <row r="109" spans="1:19" s="317" customFormat="1">
      <c r="A109" s="309" t="str">
        <f>HYPERLINK("http://www.wantgoo.com/stock/chart.aspx?stockno=1215","1215")</f>
        <v>1215</v>
      </c>
      <c r="B109" s="310"/>
      <c r="C109" s="311">
        <f>VLOOKUP(1215,季財報!A:H,3)</f>
        <v>0</v>
      </c>
      <c r="D109" s="311">
        <f>VLOOKUP(1215,季財報!A:H,4)</f>
        <v>1</v>
      </c>
      <c r="E109" s="311">
        <f>VLOOKUP(1215,季財報!A:H,5)</f>
        <v>1</v>
      </c>
      <c r="F109" s="311">
        <f>VLOOKUP(1215,季財報!A:H,6)</f>
        <v>1</v>
      </c>
      <c r="G109" s="311">
        <f>VLOOKUP(1215,季財報!A:H,7)</f>
        <v>0</v>
      </c>
      <c r="H109" s="312"/>
      <c r="I109" s="312"/>
      <c r="J109" s="312"/>
      <c r="K109" s="312"/>
      <c r="L109" s="312"/>
      <c r="M109" s="313"/>
      <c r="N109" s="312">
        <f t="shared" si="1"/>
        <v>3</v>
      </c>
      <c r="O109" s="314"/>
      <c r="P109" s="314"/>
      <c r="Q109" s="314"/>
      <c r="R109" s="314"/>
      <c r="S109" s="315"/>
    </row>
    <row r="110" spans="1:19" s="317" customFormat="1">
      <c r="A110" s="309" t="str">
        <f>HYPERLINK("http://www.wantgoo.com/stock/chart.aspx?stockno=4513","4513")</f>
        <v>4513</v>
      </c>
      <c r="B110" s="310"/>
      <c r="C110" s="311">
        <f>VLOOKUP(4513,季財報!A:H,3)</f>
        <v>1</v>
      </c>
      <c r="D110" s="311">
        <f>VLOOKUP(4513,季財報!A:H,4)</f>
        <v>1</v>
      </c>
      <c r="E110" s="311">
        <f>VLOOKUP(4513,季財報!A:H,5)</f>
        <v>0</v>
      </c>
      <c r="F110" s="311">
        <f>VLOOKUP(4513,季財報!A:H,6)</f>
        <v>1</v>
      </c>
      <c r="G110" s="311">
        <f>VLOOKUP(4513,季財報!A:H,7)</f>
        <v>0</v>
      </c>
      <c r="H110" s="312"/>
      <c r="I110" s="312"/>
      <c r="J110" s="312"/>
      <c r="K110" s="312"/>
      <c r="L110" s="312"/>
      <c r="M110" s="313"/>
      <c r="N110" s="312">
        <f t="shared" si="1"/>
        <v>3</v>
      </c>
      <c r="O110" s="314"/>
      <c r="P110" s="314"/>
      <c r="Q110" s="314"/>
      <c r="R110" s="314"/>
      <c r="S110" s="315"/>
    </row>
    <row r="111" spans="1:19" s="317" customFormat="1">
      <c r="A111" s="309" t="str">
        <f>HYPERLINK("http://www.wantgoo.com/stock/chart.aspx?stockno=1580","1580")</f>
        <v>1580</v>
      </c>
      <c r="B111" s="310"/>
      <c r="C111" s="311">
        <f>VLOOKUP(1580,季財報!A:H,3)</f>
        <v>0</v>
      </c>
      <c r="D111" s="311">
        <f>VLOOKUP(1580,季財報!A:H,4)</f>
        <v>1</v>
      </c>
      <c r="E111" s="311">
        <f>VLOOKUP(1580,季財報!A:H,5)</f>
        <v>0</v>
      </c>
      <c r="F111" s="311">
        <f>VLOOKUP(1580,季財報!A:H,6)</f>
        <v>0</v>
      </c>
      <c r="G111" s="311">
        <f>VLOOKUP(1580,季財報!A:H,7)</f>
        <v>0</v>
      </c>
      <c r="H111" s="312"/>
      <c r="I111" s="312"/>
      <c r="J111" s="312"/>
      <c r="K111" s="312"/>
      <c r="L111" s="312"/>
      <c r="M111" s="313"/>
      <c r="N111" s="312">
        <f t="shared" si="1"/>
        <v>1</v>
      </c>
      <c r="O111" s="314"/>
      <c r="P111" s="314"/>
      <c r="Q111" s="314"/>
      <c r="R111" s="314"/>
      <c r="S111" s="315"/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9" s="317" customFormat="1">
      <c r="A113" s="309" t="str">
        <f>HYPERLINK("http://www.wantgoo.com/stock/chart.aspx?stockno=3051","3051")</f>
        <v>3051</v>
      </c>
      <c r="B113" s="310"/>
      <c r="C113" s="311">
        <f>VLOOKUP(3051,季財報!A:H,3)</f>
        <v>0</v>
      </c>
      <c r="D113" s="311">
        <f>VLOOKUP(3051,季財報!A:H,4)</f>
        <v>1</v>
      </c>
      <c r="E113" s="311">
        <f>VLOOKUP(3051,季財報!A:H,5)</f>
        <v>0</v>
      </c>
      <c r="F113" s="311">
        <f>VLOOKUP(3051,季財報!A:H,6)</f>
        <v>1</v>
      </c>
      <c r="G113" s="311">
        <f>VLOOKUP(3051,季財報!A:H,7)</f>
        <v>0</v>
      </c>
      <c r="H113" s="312"/>
      <c r="I113" s="312"/>
      <c r="J113" s="312"/>
      <c r="K113" s="312"/>
      <c r="L113" s="312"/>
      <c r="M113" s="313"/>
      <c r="N113" s="312">
        <f t="shared" si="1"/>
        <v>2</v>
      </c>
      <c r="O113" s="314"/>
      <c r="P113" s="314"/>
      <c r="Q113" s="314"/>
      <c r="R113" s="314"/>
      <c r="S113" s="315"/>
    </row>
    <row r="114" spans="1:19" s="317" customFormat="1">
      <c r="A114" s="309" t="str">
        <f>HYPERLINK("http://www.wantgoo.com/stock/chart.aspx?stockno=8088","8088")</f>
        <v>8088</v>
      </c>
      <c r="B114" s="310"/>
      <c r="C114" s="311">
        <f>VLOOKUP(8088,季財報!A:H,3)</f>
        <v>0</v>
      </c>
      <c r="D114" s="311">
        <f>VLOOKUP(8088,季財報!A:H,4)</f>
        <v>1</v>
      </c>
      <c r="E114" s="311">
        <f>VLOOKUP(8088,季財報!A:H,5)</f>
        <v>1</v>
      </c>
      <c r="F114" s="311">
        <f>VLOOKUP(8088,季財報!A:H,6)</f>
        <v>0</v>
      </c>
      <c r="G114" s="311">
        <f>VLOOKUP(8088,季財報!A:H,7)</f>
        <v>0</v>
      </c>
      <c r="H114" s="312"/>
      <c r="I114" s="312"/>
      <c r="J114" s="312"/>
      <c r="K114" s="312"/>
      <c r="L114" s="312"/>
      <c r="M114" s="313"/>
      <c r="N114" s="312">
        <f t="shared" si="1"/>
        <v>2</v>
      </c>
      <c r="O114" s="314"/>
      <c r="P114" s="314"/>
      <c r="Q114" s="314"/>
      <c r="R114" s="314"/>
      <c r="S114" s="315"/>
    </row>
    <row r="115" spans="1:19" s="317" customFormat="1">
      <c r="A115" s="309" t="str">
        <f>HYPERLINK("http://www.wantgoo.com/stock/chart.aspx?stockno=2420","2420")</f>
        <v>2420</v>
      </c>
      <c r="B115" s="310"/>
      <c r="C115" s="311">
        <f>VLOOKUP(2420,季財報!A:H,3)</f>
        <v>1</v>
      </c>
      <c r="D115" s="311">
        <f>VLOOKUP(2420,季財報!A:H,4)</f>
        <v>1</v>
      </c>
      <c r="E115" s="311">
        <f>VLOOKUP(2420,季財報!A:H,5)</f>
        <v>0</v>
      </c>
      <c r="F115" s="311">
        <f>VLOOKUP(2420,季財報!A:H,6)</f>
        <v>1</v>
      </c>
      <c r="G115" s="311">
        <f>VLOOKUP(2420,季財報!A:H,7)</f>
        <v>0</v>
      </c>
      <c r="H115" s="312"/>
      <c r="I115" s="312"/>
      <c r="J115" s="312"/>
      <c r="K115" s="312"/>
      <c r="L115" s="312"/>
      <c r="M115" s="313"/>
      <c r="N115" s="312">
        <f t="shared" si="1"/>
        <v>3</v>
      </c>
      <c r="O115" s="314"/>
      <c r="P115" s="314"/>
      <c r="Q115" s="314"/>
      <c r="R115" s="314"/>
      <c r="S115" s="315"/>
    </row>
    <row r="116" spans="1:19" s="317" customFormat="1">
      <c r="A116" s="309" t="str">
        <f>HYPERLINK("http://www.wantgoo.com/stock/chart.aspx?stockno=3481","3481")</f>
        <v>3481</v>
      </c>
      <c r="B116" s="310"/>
      <c r="C116" s="311">
        <f>VLOOKUP(3481,季財報!A:H,3)</f>
        <v>0</v>
      </c>
      <c r="D116" s="311">
        <f>VLOOKUP(3481,季財報!A:H,4)</f>
        <v>0</v>
      </c>
      <c r="E116" s="311">
        <f>VLOOKUP(3481,季財報!A:H,5)</f>
        <v>0</v>
      </c>
      <c r="F116" s="311">
        <f>VLOOKUP(3481,季財報!A:H,6)</f>
        <v>1</v>
      </c>
      <c r="G116" s="311">
        <f>VLOOKUP(3481,季財報!A:H,7)</f>
        <v>0</v>
      </c>
      <c r="H116" s="312"/>
      <c r="I116" s="312"/>
      <c r="J116" s="312"/>
      <c r="K116" s="312"/>
      <c r="L116" s="312"/>
      <c r="M116" s="313"/>
      <c r="N116" s="312">
        <f t="shared" si="1"/>
        <v>1</v>
      </c>
      <c r="O116" s="314"/>
      <c r="P116" s="314"/>
      <c r="Q116" s="314"/>
      <c r="R116" s="314"/>
      <c r="S116" s="315"/>
    </row>
    <row r="117" spans="1:19" s="317" customFormat="1">
      <c r="A117" s="309" t="str">
        <f>HYPERLINK("http://www.wantgoo.com/stock/chart.aspx?stockno=4977","4977")</f>
        <v>4977</v>
      </c>
      <c r="B117" s="310"/>
      <c r="C117" s="311">
        <f>VLOOKUP(4977,季財報!A:H,3)</f>
        <v>0</v>
      </c>
      <c r="D117" s="311">
        <f>VLOOKUP(4977,季財報!A:H,4)</f>
        <v>1</v>
      </c>
      <c r="E117" s="311">
        <f>VLOOKUP(4977,季財報!A:H,5)</f>
        <v>2</v>
      </c>
      <c r="F117" s="311">
        <f>VLOOKUP(4977,季財報!A:H,6)</f>
        <v>1</v>
      </c>
      <c r="G117" s="311">
        <f>VLOOKUP(4977,季財報!A:H,7)</f>
        <v>0</v>
      </c>
      <c r="H117" s="312"/>
      <c r="I117" s="312"/>
      <c r="J117" s="312"/>
      <c r="K117" s="312"/>
      <c r="L117" s="312"/>
      <c r="M117" s="313"/>
      <c r="N117" s="312">
        <f t="shared" si="1"/>
        <v>4</v>
      </c>
      <c r="O117" s="314"/>
      <c r="P117" s="314"/>
      <c r="Q117" s="314"/>
      <c r="R117" s="314"/>
      <c r="S117" s="315"/>
    </row>
    <row r="118" spans="1:19" s="317" customFormat="1">
      <c r="A118" s="309" t="str">
        <f>HYPERLINK("http://www.wantgoo.com/stock/chart.aspx?stockno=5511","5511")</f>
        <v>5511</v>
      </c>
      <c r="B118" s="310"/>
      <c r="C118" s="311">
        <f>VLOOKUP(5511,季財報!A:H,3)</f>
        <v>0</v>
      </c>
      <c r="D118" s="311">
        <f>VLOOKUP(5511,季財報!A:H,4)</f>
        <v>0</v>
      </c>
      <c r="E118" s="311">
        <f>VLOOKUP(5511,季財報!A:H,5)</f>
        <v>0</v>
      </c>
      <c r="F118" s="311">
        <f>VLOOKUP(5511,季財報!A:H,6)</f>
        <v>0</v>
      </c>
      <c r="G118" s="311">
        <f>VLOOKUP(5511,季財報!A:H,7)</f>
        <v>0</v>
      </c>
      <c r="H118" s="312"/>
      <c r="I118" s="312"/>
      <c r="J118" s="312"/>
      <c r="K118" s="312"/>
      <c r="L118" s="312"/>
      <c r="M118" s="313"/>
      <c r="N118" s="312">
        <f t="shared" si="1"/>
        <v>0</v>
      </c>
      <c r="O118" s="314"/>
      <c r="P118" s="314"/>
      <c r="Q118" s="314"/>
      <c r="R118" s="314"/>
      <c r="S118" s="315"/>
    </row>
    <row r="119" spans="1:19" s="317" customFormat="1">
      <c r="A119" s="309" t="str">
        <f>HYPERLINK("http://www.wantgoo.com/stock/chart.aspx?stockno=6224","6224")</f>
        <v>6224</v>
      </c>
      <c r="B119" s="310"/>
      <c r="C119" s="311">
        <f>VLOOKUP(6224,季財報!A:H,3)</f>
        <v>0</v>
      </c>
      <c r="D119" s="311">
        <f>VLOOKUP(6224,季財報!A:H,4)</f>
        <v>1</v>
      </c>
      <c r="E119" s="311">
        <f>VLOOKUP(6224,季財報!A:H,5)</f>
        <v>0</v>
      </c>
      <c r="F119" s="311">
        <f>VLOOKUP(6224,季財報!A:H,6)</f>
        <v>1</v>
      </c>
      <c r="G119" s="311">
        <f>VLOOKUP(6224,季財報!A:H,7)</f>
        <v>0</v>
      </c>
      <c r="H119" s="312"/>
      <c r="I119" s="312"/>
      <c r="J119" s="312"/>
      <c r="K119" s="312"/>
      <c r="L119" s="312"/>
      <c r="M119" s="313"/>
      <c r="N119" s="312">
        <f t="shared" si="1"/>
        <v>2</v>
      </c>
      <c r="O119" s="314"/>
      <c r="P119" s="314"/>
      <c r="Q119" s="314"/>
      <c r="R119" s="314"/>
      <c r="S119" s="315"/>
    </row>
    <row r="120" spans="1:19" s="317" customFormat="1">
      <c r="A120" s="309" t="str">
        <f>HYPERLINK("http://www.wantgoo.com/stock/chart.aspx?stockno=5276","5276")</f>
        <v>5276</v>
      </c>
      <c r="B120" s="310"/>
      <c r="C120" s="311">
        <f>VLOOKUP(5276,季財報!A:H,3)</f>
        <v>0</v>
      </c>
      <c r="D120" s="311">
        <f>VLOOKUP(5276,季財報!A:H,4)</f>
        <v>1</v>
      </c>
      <c r="E120" s="311">
        <f>VLOOKUP(5276,季財報!A:H,5)</f>
        <v>0</v>
      </c>
      <c r="F120" s="311">
        <f>VLOOKUP(5276,季財報!A:H,6)</f>
        <v>1</v>
      </c>
      <c r="G120" s="311">
        <f>VLOOKUP(5276,季財報!A:H,7)</f>
        <v>0</v>
      </c>
      <c r="H120" s="312"/>
      <c r="I120" s="312"/>
      <c r="J120" s="312"/>
      <c r="K120" s="312"/>
      <c r="L120" s="312"/>
      <c r="M120" s="313"/>
      <c r="N120" s="312">
        <f t="shared" si="1"/>
        <v>2</v>
      </c>
      <c r="O120" s="314"/>
      <c r="P120" s="314"/>
      <c r="Q120" s="314"/>
      <c r="R120" s="314"/>
      <c r="S120" s="315"/>
    </row>
    <row r="121" spans="1:19" s="317" customFormat="1">
      <c r="A121" s="309" t="str">
        <f>HYPERLINK("http://www.wantgoo.com/stock/chart.aspx?stockno=1526","1526")</f>
        <v>1526</v>
      </c>
      <c r="B121" s="310"/>
      <c r="C121" s="311">
        <f>VLOOKUP(1526,季財報!A:H,3)</f>
        <v>1</v>
      </c>
      <c r="D121" s="311">
        <f>VLOOKUP(1526,季財報!A:H,4)</f>
        <v>1</v>
      </c>
      <c r="E121" s="311">
        <f>VLOOKUP(1526,季財報!A:H,5)</f>
        <v>0</v>
      </c>
      <c r="F121" s="311">
        <f>VLOOKUP(1526,季財報!A:H,6)</f>
        <v>0</v>
      </c>
      <c r="G121" s="311">
        <f>VLOOKUP(1526,季財報!A:H,7)</f>
        <v>1</v>
      </c>
      <c r="H121" s="312"/>
      <c r="I121" s="312"/>
      <c r="J121" s="312"/>
      <c r="K121" s="312"/>
      <c r="L121" s="312"/>
      <c r="M121" s="313"/>
      <c r="N121" s="312">
        <f t="shared" si="1"/>
        <v>3</v>
      </c>
      <c r="O121" s="314"/>
      <c r="P121" s="314"/>
      <c r="Q121" s="314"/>
      <c r="R121" s="314"/>
      <c r="S121" s="315"/>
    </row>
    <row r="122" spans="1:19" s="317" customFormat="1">
      <c r="A122" s="309" t="str">
        <f>HYPERLINK("http://www.wantgoo.com/stock/chart.aspx?stockno=1541","1541")</f>
        <v>1541</v>
      </c>
      <c r="B122" s="310"/>
      <c r="C122" s="311">
        <f>VLOOKUP(1541,季財報!A:H,3)</f>
        <v>1</v>
      </c>
      <c r="D122" s="311">
        <f>VLOOKUP(1541,季財報!A:H,4)</f>
        <v>1</v>
      </c>
      <c r="E122" s="311">
        <f>VLOOKUP(1541,季財報!A:H,5)</f>
        <v>2</v>
      </c>
      <c r="F122" s="311">
        <f>VLOOKUP(1541,季財報!A:H,6)</f>
        <v>0</v>
      </c>
      <c r="G122" s="311">
        <f>VLOOKUP(1541,季財報!A:H,7)</f>
        <v>0</v>
      </c>
      <c r="H122" s="312"/>
      <c r="I122" s="312"/>
      <c r="J122" s="312"/>
      <c r="K122" s="312"/>
      <c r="L122" s="312"/>
      <c r="M122" s="313"/>
      <c r="N122" s="312">
        <f t="shared" si="1"/>
        <v>4</v>
      </c>
      <c r="O122" s="314"/>
      <c r="P122" s="314"/>
      <c r="Q122" s="314"/>
      <c r="R122" s="314"/>
      <c r="S122" s="315"/>
    </row>
    <row r="123" spans="1:19" s="317" customFormat="1">
      <c r="A123" s="309" t="str">
        <f>HYPERLINK("http://www.wantgoo.com/stock/chart.aspx?stockno=2351","2351")</f>
        <v>2351</v>
      </c>
      <c r="B123" s="310"/>
      <c r="C123" s="311">
        <f>VLOOKUP(2351,季財報!A:H,3)</f>
        <v>0</v>
      </c>
      <c r="D123" s="311">
        <f>VLOOKUP(2351,季財報!A:H,4)</f>
        <v>1</v>
      </c>
      <c r="E123" s="311">
        <f>VLOOKUP(2351,季財報!A:H,5)</f>
        <v>0</v>
      </c>
      <c r="F123" s="311">
        <f>VLOOKUP(2351,季財報!A:H,6)</f>
        <v>1</v>
      </c>
      <c r="G123" s="311">
        <f>VLOOKUP(2351,季財報!A:H,7)</f>
        <v>0</v>
      </c>
      <c r="H123" s="312"/>
      <c r="I123" s="312"/>
      <c r="J123" s="312"/>
      <c r="K123" s="312"/>
      <c r="L123" s="312"/>
      <c r="M123" s="313"/>
      <c r="N123" s="312">
        <f t="shared" si="1"/>
        <v>2</v>
      </c>
      <c r="O123" s="314"/>
      <c r="P123" s="314"/>
      <c r="Q123" s="314"/>
      <c r="R123" s="314"/>
      <c r="S123" s="315"/>
    </row>
    <row r="124" spans="1:19" s="317" customFormat="1">
      <c r="A124" s="309" t="str">
        <f>HYPERLINK("http://www.wantgoo.com/stock/chart.aspx?stockno=4952","4952")</f>
        <v>4952</v>
      </c>
      <c r="B124" s="310"/>
      <c r="C124" s="311">
        <f>VLOOKUP(4952,季財報!A:H,3)</f>
        <v>1</v>
      </c>
      <c r="D124" s="311">
        <f>VLOOKUP(4952,季財報!A:H,4)</f>
        <v>1</v>
      </c>
      <c r="E124" s="311">
        <f>VLOOKUP(4952,季財報!A:H,5)</f>
        <v>0</v>
      </c>
      <c r="F124" s="311">
        <f>VLOOKUP(4952,季財報!A:H,6)</f>
        <v>1</v>
      </c>
      <c r="G124" s="311">
        <f>VLOOKUP(4952,季財報!A:H,7)</f>
        <v>0</v>
      </c>
      <c r="H124" s="312"/>
      <c r="I124" s="312"/>
      <c r="J124" s="312"/>
      <c r="K124" s="312"/>
      <c r="L124" s="312"/>
      <c r="M124" s="313"/>
      <c r="N124" s="312">
        <f t="shared" si="1"/>
        <v>3</v>
      </c>
      <c r="O124" s="314"/>
      <c r="P124" s="314"/>
      <c r="Q124" s="314"/>
      <c r="R124" s="314"/>
      <c r="S124" s="315"/>
    </row>
    <row r="125" spans="1:19" s="317" customFormat="1">
      <c r="A125" s="309" t="str">
        <f>HYPERLINK("http://www.wantgoo.com/stock/chart.aspx?stockno=3290","3290")</f>
        <v>3290</v>
      </c>
      <c r="B125" s="310"/>
      <c r="C125" s="311">
        <f>VLOOKUP(3290,季財報!A:H,3)</f>
        <v>0</v>
      </c>
      <c r="D125" s="311">
        <f>VLOOKUP(3290,季財報!A:H,4)</f>
        <v>0</v>
      </c>
      <c r="E125" s="311">
        <f>VLOOKUP(3290,季財報!A:H,5)</f>
        <v>1</v>
      </c>
      <c r="F125" s="311">
        <f>VLOOKUP(3290,季財報!A:H,6)</f>
        <v>0</v>
      </c>
      <c r="G125" s="311">
        <f>VLOOKUP(3290,季財報!A:H,7)</f>
        <v>0</v>
      </c>
      <c r="H125" s="312"/>
      <c r="I125" s="312"/>
      <c r="J125" s="312"/>
      <c r="K125" s="312"/>
      <c r="L125" s="312"/>
      <c r="M125" s="313"/>
      <c r="N125" s="312">
        <f t="shared" si="1"/>
        <v>1</v>
      </c>
      <c r="O125" s="314"/>
      <c r="P125" s="314"/>
      <c r="Q125" s="314"/>
      <c r="R125" s="314"/>
      <c r="S125" s="315"/>
    </row>
    <row r="126" spans="1:19" s="317" customFormat="1">
      <c r="A126" s="309" t="str">
        <f>HYPERLINK("http://www.wantgoo.com/stock/chart.aspx?stockno=1599","1599")</f>
        <v>1599</v>
      </c>
      <c r="B126" s="310"/>
      <c r="C126" s="311">
        <f>VLOOKUP(1599,季財報!A:H,3)</f>
        <v>1</v>
      </c>
      <c r="D126" s="311">
        <f>VLOOKUP(1599,季財報!A:H,4)</f>
        <v>1</v>
      </c>
      <c r="E126" s="311">
        <f>VLOOKUP(1599,季財報!A:H,5)</f>
        <v>0</v>
      </c>
      <c r="F126" s="311">
        <f>VLOOKUP(1599,季財報!A:H,6)</f>
        <v>1</v>
      </c>
      <c r="G126" s="311">
        <f>VLOOKUP(1599,季財報!A:H,7)</f>
        <v>1</v>
      </c>
      <c r="H126" s="312"/>
      <c r="I126" s="312"/>
      <c r="J126" s="312"/>
      <c r="K126" s="312"/>
      <c r="L126" s="312"/>
      <c r="M126" s="313"/>
      <c r="N126" s="312">
        <f t="shared" si="1"/>
        <v>4</v>
      </c>
      <c r="O126" s="314"/>
      <c r="P126" s="314"/>
      <c r="Q126" s="314"/>
      <c r="R126" s="314"/>
      <c r="S126" s="315"/>
    </row>
    <row r="127" spans="1:19" s="317" customFormat="1">
      <c r="A127" s="309" t="str">
        <f>HYPERLINK("http://www.wantgoo.com/stock/chart.aspx?stockno=5434","5434")</f>
        <v>5434</v>
      </c>
      <c r="B127" s="310"/>
      <c r="C127" s="311">
        <f>VLOOKUP(5434,季財報!A:H,3)</f>
        <v>1</v>
      </c>
      <c r="D127" s="311">
        <f>VLOOKUP(5434,季財報!A:H,4)</f>
        <v>1</v>
      </c>
      <c r="E127" s="311">
        <f>VLOOKUP(5434,季財報!A:H,5)</f>
        <v>0</v>
      </c>
      <c r="F127" s="311">
        <f>VLOOKUP(5434,季財報!A:H,6)</f>
        <v>1</v>
      </c>
      <c r="G127" s="311">
        <f>VLOOKUP(5434,季財報!A:H,7)</f>
        <v>0</v>
      </c>
      <c r="H127" s="312"/>
      <c r="I127" s="312"/>
      <c r="J127" s="312"/>
      <c r="K127" s="312"/>
      <c r="L127" s="312"/>
      <c r="M127" s="313"/>
      <c r="N127" s="312">
        <f t="shared" si="1"/>
        <v>3</v>
      </c>
      <c r="O127" s="314"/>
      <c r="P127" s="314"/>
      <c r="Q127" s="314"/>
      <c r="R127" s="314"/>
      <c r="S127" s="315"/>
    </row>
    <row r="128" spans="1:19" s="317" customFormat="1">
      <c r="A128" s="309" t="str">
        <f>HYPERLINK("http://www.wantgoo.com/stock/chart.aspx?stockno=8066","8066")</f>
        <v>8066</v>
      </c>
      <c r="B128" s="310"/>
      <c r="C128" s="311">
        <f>VLOOKUP(8066,季財報!A:H,3)</f>
        <v>1</v>
      </c>
      <c r="D128" s="311">
        <f>VLOOKUP(8066,季財報!A:H,4)</f>
        <v>1</v>
      </c>
      <c r="E128" s="311">
        <f>VLOOKUP(8066,季財報!A:H,5)</f>
        <v>1</v>
      </c>
      <c r="F128" s="311">
        <f>VLOOKUP(8066,季財報!A:H,6)</f>
        <v>1</v>
      </c>
      <c r="G128" s="311">
        <f>VLOOKUP(8066,季財報!A:H,7)</f>
        <v>0</v>
      </c>
      <c r="H128" s="312"/>
      <c r="I128" s="312"/>
      <c r="J128" s="312"/>
      <c r="K128" s="312"/>
      <c r="L128" s="312"/>
      <c r="M128" s="313"/>
      <c r="N128" s="312">
        <f t="shared" si="1"/>
        <v>4</v>
      </c>
      <c r="O128" s="314"/>
      <c r="P128" s="314"/>
      <c r="Q128" s="314"/>
      <c r="R128" s="314"/>
      <c r="S128" s="315"/>
    </row>
    <row r="129" spans="1:19" s="317" customFormat="1">
      <c r="A129" s="309" t="str">
        <f>HYPERLINK("http://www.wantgoo.com/stock/chart.aspx?stockno=1773","1773")</f>
        <v>1773</v>
      </c>
      <c r="B129" s="310"/>
      <c r="C129" s="311">
        <f>VLOOKUP(1773,季財報!A:H,3)</f>
        <v>1</v>
      </c>
      <c r="D129" s="311">
        <f>VLOOKUP(1773,季財報!A:H,4)</f>
        <v>1</v>
      </c>
      <c r="E129" s="311">
        <f>VLOOKUP(1773,季財報!A:H,5)</f>
        <v>2</v>
      </c>
      <c r="F129" s="311">
        <f>VLOOKUP(1773,季財報!A:H,6)</f>
        <v>1</v>
      </c>
      <c r="G129" s="311">
        <f>VLOOKUP(1773,季財報!A:H,7)</f>
        <v>0</v>
      </c>
      <c r="H129" s="312"/>
      <c r="I129" s="312"/>
      <c r="J129" s="312"/>
      <c r="K129" s="312"/>
      <c r="L129" s="312"/>
      <c r="M129" s="313"/>
      <c r="N129" s="312">
        <f t="shared" si="1"/>
        <v>5</v>
      </c>
      <c r="O129" s="314"/>
      <c r="P129" s="314"/>
      <c r="Q129" s="314"/>
      <c r="R129" s="314"/>
      <c r="S129" s="315"/>
    </row>
    <row r="130" spans="1:19">
      <c r="A130" s="308" t="str">
        <f>HYPERLINK("http://www.wantgoo.com/stock/chart.aspx?stockno=3563","3563")</f>
        <v>3563</v>
      </c>
      <c r="C130" s="18">
        <f>VLOOKUP(3563,季財報!A:H,3)</f>
        <v>1</v>
      </c>
      <c r="D130" s="18">
        <f>VLOOKUP(3563,季財報!A:H,4)</f>
        <v>1</v>
      </c>
      <c r="E130" s="18">
        <f>VLOOKUP(3563,季財報!A:H,5)</f>
        <v>0</v>
      </c>
      <c r="F130" s="18">
        <f>VLOOKUP(3563,季財報!A:H,6)</f>
        <v>0</v>
      </c>
      <c r="G130" s="18">
        <f>VLOOKUP(3563,季財報!A:H,7)</f>
        <v>0</v>
      </c>
      <c r="N130" s="20">
        <f t="shared" si="1"/>
        <v>2</v>
      </c>
    </row>
    <row r="131" spans="1:19">
      <c r="A131" s="308" t="str">
        <f>HYPERLINK("http://www.wantgoo.com/stock/chart.aspx?stockno=6104","6104")</f>
        <v>6104</v>
      </c>
      <c r="C131" s="18">
        <f>VLOOKUP(6104,季財報!A:H,3)</f>
        <v>0</v>
      </c>
      <c r="D131" s="18">
        <f>VLOOKUP(6104,季財報!A:H,4)</f>
        <v>1</v>
      </c>
      <c r="E131" s="18">
        <f>VLOOKUP(6104,季財報!A:H,5)</f>
        <v>0</v>
      </c>
      <c r="F131" s="18">
        <f>VLOOKUP(6104,季財報!A:H,6)</f>
        <v>1</v>
      </c>
      <c r="G131" s="18">
        <f>VLOOKUP(6104,季財報!A:H,7)</f>
        <v>0</v>
      </c>
      <c r="N131" s="20">
        <f t="shared" si="1"/>
        <v>2</v>
      </c>
    </row>
    <row r="132" spans="1:19">
      <c r="A132" s="308" t="str">
        <f>HYPERLINK("http://www.wantgoo.com/stock/chart.aspx?stockno=3541","3541")</f>
        <v>3541</v>
      </c>
      <c r="C132" s="18">
        <f>VLOOKUP(3541,季財報!A:H,3)</f>
        <v>0</v>
      </c>
      <c r="D132" s="18">
        <f>VLOOKUP(3541,季財報!A:H,4)</f>
        <v>1</v>
      </c>
      <c r="E132" s="18">
        <f>VLOOKUP(3541,季財報!A:H,5)</f>
        <v>1</v>
      </c>
      <c r="F132" s="18">
        <f>VLOOKUP(3541,季財報!A:H,6)</f>
        <v>1</v>
      </c>
      <c r="G132" s="18">
        <f>VLOOKUP(3541,季財報!A:H,7)</f>
        <v>0</v>
      </c>
      <c r="N132" s="20">
        <f t="shared" ref="N132:N195" si="2">SUM(C132:M132)</f>
        <v>3</v>
      </c>
    </row>
    <row r="133" spans="1:19">
      <c r="A133" s="307" t="str">
        <f>HYPERLINK("http://www.wantgoo.com/stock/chart.aspx?stockno=5519","5519")</f>
        <v>5519</v>
      </c>
      <c r="C133" s="18">
        <f>VLOOKUP(5519,季財報!A:H,3)</f>
        <v>0</v>
      </c>
      <c r="D133" s="18">
        <f>VLOOKUP(5519,季財報!A:H,4)</f>
        <v>1</v>
      </c>
      <c r="E133" s="18">
        <f>VLOOKUP(5519,季財報!A:H,5)</f>
        <v>0</v>
      </c>
      <c r="F133" s="18">
        <f>VLOOKUP(5519,季財報!A:H,6)</f>
        <v>1</v>
      </c>
      <c r="G133" s="18">
        <f>VLOOKUP(5519,季財報!A:H,7)</f>
        <v>0</v>
      </c>
      <c r="N133" s="20">
        <f t="shared" si="2"/>
        <v>2</v>
      </c>
    </row>
    <row r="134" spans="1:19">
      <c r="A134" s="308" t="str">
        <f>HYPERLINK("http://www.wantgoo.com/stock/chart.aspx?stockno=3008","3008")</f>
        <v>3008</v>
      </c>
      <c r="C134" s="18">
        <f>VLOOKUP(3008,季財報!A:H,3)</f>
        <v>1</v>
      </c>
      <c r="D134" s="18">
        <f>VLOOKUP(3008,季財報!A:H,4)</f>
        <v>1</v>
      </c>
      <c r="E134" s="18">
        <f>VLOOKUP(3008,季財報!A:H,5)</f>
        <v>0</v>
      </c>
      <c r="F134" s="18">
        <f>VLOOKUP(3008,季財報!A:H,6)</f>
        <v>1</v>
      </c>
      <c r="G134" s="18">
        <f>VLOOKUP(3008,季財報!A:H,7)</f>
        <v>0</v>
      </c>
      <c r="N134" s="20">
        <f t="shared" si="2"/>
        <v>3</v>
      </c>
    </row>
    <row r="135" spans="1:19">
      <c r="A135" s="307" t="str">
        <f>HYPERLINK("http://www.wantgoo.com/stock/chart.aspx?stockno=5215","5215")</f>
        <v>5215</v>
      </c>
      <c r="C135" s="18">
        <f>VLOOKUP(5215,季財報!A:H,3)</f>
        <v>0</v>
      </c>
      <c r="D135" s="18">
        <f>VLOOKUP(5215,季財報!A:H,4)</f>
        <v>1</v>
      </c>
      <c r="E135" s="18">
        <f>VLOOKUP(5215,季財報!A:H,5)</f>
        <v>2</v>
      </c>
      <c r="F135" s="18">
        <f>VLOOKUP(5215,季財報!A:H,6)</f>
        <v>1</v>
      </c>
      <c r="G135" s="18">
        <f>VLOOKUP(5215,季財報!A:H,7)</f>
        <v>0</v>
      </c>
      <c r="N135" s="20">
        <f t="shared" si="2"/>
        <v>4</v>
      </c>
    </row>
    <row r="136" spans="1:19">
      <c r="A136" s="307" t="str">
        <f>HYPERLINK("http://www.wantgoo.com/stock/chart.aspx?stockno=6143","6143")</f>
        <v>6143</v>
      </c>
      <c r="C136" s="18">
        <f>VLOOKUP(6143,季財報!A:H,3)</f>
        <v>1</v>
      </c>
      <c r="D136" s="18">
        <f>VLOOKUP(6143,季財報!A:H,4)</f>
        <v>1</v>
      </c>
      <c r="E136" s="18">
        <f>VLOOKUP(6143,季財報!A:H,5)</f>
        <v>2</v>
      </c>
      <c r="F136" s="18">
        <f>VLOOKUP(6143,季財報!A:H,6)</f>
        <v>1</v>
      </c>
      <c r="G136" s="18">
        <f>VLOOKUP(6143,季財報!A:H,7)</f>
        <v>0</v>
      </c>
      <c r="N136" s="20">
        <f t="shared" si="2"/>
        <v>5</v>
      </c>
    </row>
    <row r="137" spans="1:19">
      <c r="A137" s="307" t="str">
        <f>HYPERLINK("http://www.wantgoo.com/stock/chart.aspx?stockno=2904","2904")</f>
        <v>2904</v>
      </c>
      <c r="C137" s="18">
        <f>VLOOKUP(2904,季財報!A:H,3)</f>
        <v>0</v>
      </c>
      <c r="D137" s="18">
        <f>VLOOKUP(2904,季財報!A:H,4)</f>
        <v>1</v>
      </c>
      <c r="E137" s="18">
        <f>VLOOKUP(2904,季財報!A:H,5)</f>
        <v>1</v>
      </c>
      <c r="F137" s="18">
        <f>VLOOKUP(2904,季財報!A:H,6)</f>
        <v>1</v>
      </c>
      <c r="G137" s="18">
        <f>VLOOKUP(2904,季財報!A:H,7)</f>
        <v>0</v>
      </c>
      <c r="N137" s="20">
        <f t="shared" si="2"/>
        <v>3</v>
      </c>
    </row>
    <row r="138" spans="1:19">
      <c r="A138" s="308" t="str">
        <f>HYPERLINK("http://www.wantgoo.com/stock/chart.aspx?stockno=1708","1708")</f>
        <v>1708</v>
      </c>
      <c r="C138" s="18">
        <f>VLOOKUP(1708,季財報!A:H,3)</f>
        <v>1</v>
      </c>
      <c r="D138" s="18">
        <f>VLOOKUP(1708,季財報!A:H,4)</f>
        <v>1</v>
      </c>
      <c r="E138" s="18">
        <f>VLOOKUP(1708,季財報!A:H,5)</f>
        <v>1</v>
      </c>
      <c r="F138" s="18">
        <f>VLOOKUP(1708,季財報!A:H,6)</f>
        <v>1</v>
      </c>
      <c r="G138" s="18">
        <f>VLOOKUP(1708,季財報!A:H,7)</f>
        <v>0</v>
      </c>
      <c r="N138" s="20">
        <f t="shared" si="2"/>
        <v>4</v>
      </c>
    </row>
    <row r="139" spans="1:19">
      <c r="A139" s="308" t="str">
        <f>HYPERLINK("http://www.wantgoo.com/stock/chart.aspx?stockno=6451","6451")</f>
        <v>6451</v>
      </c>
      <c r="C139" s="18">
        <f>VLOOKUP(6451,季財報!A:H,3)</f>
        <v>0</v>
      </c>
      <c r="D139" s="18">
        <f>VLOOKUP(6451,季財報!A:H,4)</f>
        <v>1</v>
      </c>
      <c r="E139" s="18">
        <f>VLOOKUP(6451,季財報!A:H,5)</f>
        <v>0</v>
      </c>
      <c r="F139" s="18">
        <f>VLOOKUP(6451,季財報!A:H,6)</f>
        <v>0</v>
      </c>
      <c r="G139" s="18">
        <f>VLOOKUP(6451,季財報!A:H,7)</f>
        <v>0</v>
      </c>
      <c r="N139" s="20">
        <f t="shared" si="2"/>
        <v>1</v>
      </c>
    </row>
    <row r="140" spans="1:19">
      <c r="A140" s="307" t="str">
        <f>HYPERLINK("http://www.wantgoo.com/stock/chart.aspx?stockno=2497","2497")</f>
        <v>2497</v>
      </c>
      <c r="C140" s="18">
        <f>VLOOKUP(2497,季財報!A:H,3)</f>
        <v>0</v>
      </c>
      <c r="D140" s="18">
        <f>VLOOKUP(2497,季財報!A:H,4)</f>
        <v>1</v>
      </c>
      <c r="E140" s="18">
        <f>VLOOKUP(2497,季財報!A:H,5)</f>
        <v>0</v>
      </c>
      <c r="F140" s="18">
        <f>VLOOKUP(2497,季財報!A:H,6)</f>
        <v>0</v>
      </c>
      <c r="G140" s="18">
        <f>VLOOKUP(2497,季財報!A:H,7)</f>
        <v>0</v>
      </c>
      <c r="N140" s="20">
        <f t="shared" si="2"/>
        <v>1</v>
      </c>
    </row>
    <row r="141" spans="1:19">
      <c r="A141" s="308" t="str">
        <f>HYPERLINK("http://www.wantgoo.com/stock/chart.aspx?stockno=5264","5264")</f>
        <v>5264</v>
      </c>
      <c r="C141" s="18">
        <f>VLOOKUP(5264,季財報!A:H,3)</f>
        <v>1</v>
      </c>
      <c r="D141" s="18">
        <f>VLOOKUP(5264,季財報!A:H,4)</f>
        <v>1</v>
      </c>
      <c r="E141" s="18">
        <f>VLOOKUP(5264,季財報!A:H,5)</f>
        <v>0</v>
      </c>
      <c r="F141" s="18">
        <f>VLOOKUP(5264,季財報!A:H,6)</f>
        <v>1</v>
      </c>
      <c r="G141" s="18">
        <f>VLOOKUP(5264,季財報!A:H,7)</f>
        <v>0</v>
      </c>
      <c r="N141" s="20">
        <f t="shared" si="2"/>
        <v>3</v>
      </c>
    </row>
    <row r="142" spans="1:19">
      <c r="A142" s="307" t="str">
        <f>HYPERLINK("http://www.wantgoo.com/stock/chart.aspx?stockno=3528","3528")</f>
        <v>3528</v>
      </c>
      <c r="C142" s="18">
        <f>VLOOKUP(3528,季財報!A:H,3)</f>
        <v>0</v>
      </c>
      <c r="D142" s="18">
        <f>VLOOKUP(3528,季財報!A:H,4)</f>
        <v>1</v>
      </c>
      <c r="E142" s="18">
        <f>VLOOKUP(3528,季財報!A:H,5)</f>
        <v>0</v>
      </c>
      <c r="F142" s="18">
        <f>VLOOKUP(3528,季財報!A:H,6)</f>
        <v>0</v>
      </c>
      <c r="G142" s="18">
        <f>VLOOKUP(3528,季財報!A:H,7)</f>
        <v>0</v>
      </c>
      <c r="N142" s="20">
        <f t="shared" si="2"/>
        <v>1</v>
      </c>
    </row>
    <row r="143" spans="1:19">
      <c r="A143" s="307" t="str">
        <f>HYPERLINK("http://www.wantgoo.com/stock/chart.aspx?stockno=3450","3450")</f>
        <v>3450</v>
      </c>
      <c r="C143" s="18">
        <f>VLOOKUP(3450,季財報!A:H,3)</f>
        <v>1</v>
      </c>
      <c r="D143" s="18">
        <f>VLOOKUP(3450,季財報!A:H,4)</f>
        <v>1</v>
      </c>
      <c r="E143" s="18">
        <f>VLOOKUP(3450,季財報!A:H,5)</f>
        <v>0</v>
      </c>
      <c r="F143" s="18">
        <f>VLOOKUP(3450,季財報!A:H,6)</f>
        <v>1</v>
      </c>
      <c r="G143" s="18">
        <f>VLOOKUP(3450,季財報!A:H,7)</f>
        <v>0</v>
      </c>
      <c r="N143" s="20">
        <f t="shared" si="2"/>
        <v>3</v>
      </c>
    </row>
    <row r="144" spans="1:19">
      <c r="A144" s="307" t="str">
        <f>HYPERLINK("http://www.wantgoo.com/stock/chart.aspx?stockno=4930","4930")</f>
        <v>4930</v>
      </c>
      <c r="C144" s="18">
        <f>VLOOKUP(4930,季財報!A:H,3)</f>
        <v>0</v>
      </c>
      <c r="D144" s="18">
        <f>VLOOKUP(4930,季財報!A:H,4)</f>
        <v>1</v>
      </c>
      <c r="E144" s="18">
        <f>VLOOKUP(4930,季財報!A:H,5)</f>
        <v>1</v>
      </c>
      <c r="F144" s="18">
        <f>VLOOKUP(4930,季財報!A:H,6)</f>
        <v>0</v>
      </c>
      <c r="G144" s="18">
        <f>VLOOKUP(4930,季財報!A:H,7)</f>
        <v>1</v>
      </c>
      <c r="N144" s="20">
        <f t="shared" si="2"/>
        <v>3</v>
      </c>
    </row>
    <row r="145" spans="1:14">
      <c r="A145" s="307" t="str">
        <f>HYPERLINK("http://www.wantgoo.com/stock/chart.aspx?stockno=3498","3498")</f>
        <v>3498</v>
      </c>
      <c r="C145" s="18">
        <f>VLOOKUP(3498,季財報!A:H,3)</f>
        <v>1</v>
      </c>
      <c r="D145" s="18">
        <f>VLOOKUP(3498,季財報!A:H,4)</f>
        <v>1</v>
      </c>
      <c r="E145" s="18">
        <f>VLOOKUP(3498,季財報!A:H,5)</f>
        <v>1</v>
      </c>
      <c r="F145" s="18">
        <f>VLOOKUP(3498,季財報!A:H,6)</f>
        <v>1</v>
      </c>
      <c r="G145" s="18">
        <f>VLOOKUP(3498,季財報!A:H,7)</f>
        <v>0</v>
      </c>
      <c r="N145" s="20">
        <f t="shared" si="2"/>
        <v>4</v>
      </c>
    </row>
    <row r="146" spans="1:14">
      <c r="A146" s="308" t="str">
        <f>HYPERLINK("http://www.wantgoo.com/stock/chart.aspx?stockno=2107","2107")</f>
        <v>2107</v>
      </c>
      <c r="C146" s="18">
        <f>VLOOKUP(2107,季財報!A:H,3)</f>
        <v>0</v>
      </c>
      <c r="D146" s="18">
        <f>VLOOKUP(2107,季財報!A:H,4)</f>
        <v>1</v>
      </c>
      <c r="E146" s="18">
        <f>VLOOKUP(2107,季財報!A:H,5)</f>
        <v>0</v>
      </c>
      <c r="F146" s="18">
        <f>VLOOKUP(2107,季財報!A:H,6)</f>
        <v>1</v>
      </c>
      <c r="G146" s="18">
        <f>VLOOKUP(2107,季財報!A:H,7)</f>
        <v>0</v>
      </c>
      <c r="N146" s="20">
        <f t="shared" si="2"/>
        <v>2</v>
      </c>
    </row>
    <row r="147" spans="1:14">
      <c r="A147" s="307" t="str">
        <f>HYPERLINK("http://www.wantgoo.com/stock/chart.aspx?stockno=3078","3078")</f>
        <v>3078</v>
      </c>
      <c r="C147" s="18">
        <f>VLOOKUP(3078,季財報!A:H,3)</f>
        <v>1</v>
      </c>
      <c r="D147" s="18">
        <f>VLOOKUP(3078,季財報!A:H,4)</f>
        <v>1</v>
      </c>
      <c r="E147" s="18">
        <f>VLOOKUP(3078,季財報!A:H,5)</f>
        <v>2</v>
      </c>
      <c r="F147" s="18">
        <f>VLOOKUP(3078,季財報!A:H,6)</f>
        <v>0</v>
      </c>
      <c r="G147" s="18">
        <f>VLOOKUP(3078,季財報!A:H,7)</f>
        <v>0</v>
      </c>
      <c r="N147" s="20">
        <f t="shared" si="2"/>
        <v>4</v>
      </c>
    </row>
    <row r="148" spans="1:14">
      <c r="A148" s="307" t="str">
        <f>HYPERLINK("http://www.wantgoo.com/stock/chart.aspx?stockno=3356","3356")</f>
        <v>3356</v>
      </c>
      <c r="C148" s="18">
        <f>VLOOKUP(3356,季財報!A:H,3)</f>
        <v>0</v>
      </c>
      <c r="D148" s="18">
        <f>VLOOKUP(3356,季財報!A:H,4)</f>
        <v>1</v>
      </c>
      <c r="E148" s="18">
        <f>VLOOKUP(3356,季財報!A:H,5)</f>
        <v>2</v>
      </c>
      <c r="F148" s="18">
        <f>VLOOKUP(3356,季財報!A:H,6)</f>
        <v>1</v>
      </c>
      <c r="G148" s="18">
        <f>VLOOKUP(3356,季財報!A:H,7)</f>
        <v>0</v>
      </c>
      <c r="N148" s="20">
        <f t="shared" si="2"/>
        <v>4</v>
      </c>
    </row>
    <row r="149" spans="1:14">
      <c r="A149" s="308" t="str">
        <f>HYPERLINK("http://www.wantgoo.com/stock/chart.aspx?stockno=3623","3623")</f>
        <v>3623</v>
      </c>
      <c r="C149" s="18">
        <f>VLOOKUP(3623,季財報!A:H,3)</f>
        <v>0</v>
      </c>
      <c r="D149" s="18">
        <f>VLOOKUP(3623,季財報!A:H,4)</f>
        <v>1</v>
      </c>
      <c r="E149" s="18">
        <f>VLOOKUP(3623,季財報!A:H,5)</f>
        <v>1</v>
      </c>
      <c r="F149" s="18">
        <f>VLOOKUP(3623,季財報!A:H,6)</f>
        <v>1</v>
      </c>
      <c r="G149" s="18">
        <f>VLOOKUP(3623,季財報!A:H,7)</f>
        <v>0</v>
      </c>
      <c r="N149" s="20">
        <f t="shared" si="2"/>
        <v>3</v>
      </c>
    </row>
    <row r="150" spans="1:14">
      <c r="A150" s="308" t="str">
        <f>HYPERLINK("http://www.wantgoo.com/stock/chart.aspx?stockno=5489","5489")</f>
        <v>5489</v>
      </c>
      <c r="C150" s="18">
        <f>VLOOKUP(5489,季財報!A:H,3)</f>
        <v>0</v>
      </c>
      <c r="D150" s="18">
        <f>VLOOKUP(5489,季財報!A:H,4)</f>
        <v>1</v>
      </c>
      <c r="E150" s="18">
        <f>VLOOKUP(5489,季財報!A:H,5)</f>
        <v>0</v>
      </c>
      <c r="F150" s="18">
        <f>VLOOKUP(5489,季財報!A:H,6)</f>
        <v>1</v>
      </c>
      <c r="G150" s="18">
        <f>VLOOKUP(5489,季財報!A:H,7)</f>
        <v>0</v>
      </c>
      <c r="N150" s="20">
        <f t="shared" si="2"/>
        <v>2</v>
      </c>
    </row>
    <row r="151" spans="1:14">
      <c r="A151" s="307" t="str">
        <f>HYPERLINK("http://www.wantgoo.com/stock/chart.aspx?stockno=3038","3038")</f>
        <v>3038</v>
      </c>
      <c r="C151" s="18">
        <f>VLOOKUP(3038,季財報!A:H,3)</f>
        <v>1</v>
      </c>
      <c r="D151" s="18">
        <f>VLOOKUP(3038,季財報!A:H,4)</f>
        <v>1</v>
      </c>
      <c r="E151" s="18">
        <f>VLOOKUP(3038,季財報!A:H,5)</f>
        <v>0</v>
      </c>
      <c r="F151" s="18">
        <f>VLOOKUP(3038,季財報!A:H,6)</f>
        <v>1</v>
      </c>
      <c r="G151" s="18">
        <f>VLOOKUP(3038,季財報!A:H,7)</f>
        <v>0</v>
      </c>
      <c r="N151" s="20">
        <f t="shared" si="2"/>
        <v>3</v>
      </c>
    </row>
    <row r="152" spans="1:14">
      <c r="A152" s="307" t="str">
        <f>HYPERLINK("http://www.wantgoo.com/stock/chart.aspx?stockno=8048","8048")</f>
        <v>8048</v>
      </c>
      <c r="C152" s="18">
        <f>VLOOKUP(8048,季財報!A:H,3)</f>
        <v>1</v>
      </c>
      <c r="D152" s="18">
        <f>VLOOKUP(8048,季財報!A:H,4)</f>
        <v>1</v>
      </c>
      <c r="E152" s="18">
        <f>VLOOKUP(8048,季財報!A:H,5)</f>
        <v>2</v>
      </c>
      <c r="F152" s="18">
        <f>VLOOKUP(8048,季財報!A:H,6)</f>
        <v>1</v>
      </c>
      <c r="G152" s="18">
        <f>VLOOKUP(8048,季財報!A:H,7)</f>
        <v>0</v>
      </c>
      <c r="N152" s="20">
        <f t="shared" si="2"/>
        <v>5</v>
      </c>
    </row>
    <row r="153" spans="1:14">
      <c r="A153" s="307" t="str">
        <f>HYPERLINK("http://www.wantgoo.com/stock/chart.aspx?stockno=3090","3090")</f>
        <v>3090</v>
      </c>
      <c r="C153" s="18">
        <f>VLOOKUP(3090,季財報!A:H,3)</f>
        <v>0</v>
      </c>
      <c r="D153" s="18">
        <f>VLOOKUP(3090,季財報!A:H,4)</f>
        <v>1</v>
      </c>
      <c r="E153" s="18">
        <f>VLOOKUP(3090,季財報!A:H,5)</f>
        <v>0</v>
      </c>
      <c r="F153" s="18">
        <f>VLOOKUP(3090,季財報!A:H,6)</f>
        <v>1</v>
      </c>
      <c r="G153" s="18">
        <f>VLOOKUP(3090,季財報!A:H,7)</f>
        <v>0</v>
      </c>
      <c r="N153" s="20">
        <f t="shared" si="2"/>
        <v>2</v>
      </c>
    </row>
    <row r="154" spans="1:14">
      <c r="A154" s="308" t="str">
        <f>HYPERLINK("http://www.wantgoo.com/stock/chart.aspx?stockno=3005","3005")</f>
        <v>3005</v>
      </c>
      <c r="C154" s="18">
        <f>VLOOKUP(3005,季財報!A:H,3)</f>
        <v>0</v>
      </c>
      <c r="D154" s="18">
        <f>VLOOKUP(3005,季財報!A:H,4)</f>
        <v>1</v>
      </c>
      <c r="E154" s="18">
        <f>VLOOKUP(3005,季財報!A:H,5)</f>
        <v>0</v>
      </c>
      <c r="F154" s="18">
        <f>VLOOKUP(3005,季財報!A:H,6)</f>
        <v>1</v>
      </c>
      <c r="G154" s="18">
        <f>VLOOKUP(3005,季財報!A:H,7)</f>
        <v>0</v>
      </c>
      <c r="N154" s="20">
        <f t="shared" si="2"/>
        <v>2</v>
      </c>
    </row>
    <row r="155" spans="1:14">
      <c r="A155" s="308" t="str">
        <f>HYPERLINK("http://www.wantgoo.com/stock/chart.aspx?stockno=4506","4506")</f>
        <v>4506</v>
      </c>
      <c r="C155" s="18">
        <f>VLOOKUP(4506,季財報!A:H,3)</f>
        <v>1</v>
      </c>
      <c r="D155" s="18">
        <f>VLOOKUP(4506,季財報!A:H,4)</f>
        <v>1</v>
      </c>
      <c r="E155" s="18">
        <f>VLOOKUP(4506,季財報!A:H,5)</f>
        <v>2</v>
      </c>
      <c r="F155" s="18">
        <f>VLOOKUP(4506,季財報!A:H,6)</f>
        <v>1</v>
      </c>
      <c r="G155" s="18">
        <f>VLOOKUP(4506,季財報!A:H,7)</f>
        <v>1</v>
      </c>
      <c r="N155" s="20">
        <f t="shared" si="2"/>
        <v>6</v>
      </c>
    </row>
    <row r="156" spans="1:14">
      <c r="A156" s="307" t="str">
        <f>HYPERLINK("http://www.wantgoo.com/stock/chart.aspx?stockno=1323","1323")</f>
        <v>1323</v>
      </c>
      <c r="C156" s="18">
        <f>VLOOKUP(1323,季財報!A:H,3)</f>
        <v>0</v>
      </c>
      <c r="D156" s="18">
        <f>VLOOKUP(1323,季財報!A:H,4)</f>
        <v>1</v>
      </c>
      <c r="E156" s="18">
        <f>VLOOKUP(1323,季財報!A:H,5)</f>
        <v>0</v>
      </c>
      <c r="F156" s="18">
        <f>VLOOKUP(1323,季財報!A:H,6)</f>
        <v>1</v>
      </c>
      <c r="G156" s="18">
        <f>VLOOKUP(1323,季財報!A:H,7)</f>
        <v>0</v>
      </c>
      <c r="N156" s="20">
        <f t="shared" si="2"/>
        <v>2</v>
      </c>
    </row>
    <row r="157" spans="1:14">
      <c r="A157" s="308" t="str">
        <f>HYPERLINK("http://www.wantgoo.com/stock/chart.aspx?stockno=2302","2302")</f>
        <v>2302</v>
      </c>
      <c r="C157" s="18">
        <f>VLOOKUP(2302,季財報!A:H,3)</f>
        <v>0</v>
      </c>
      <c r="D157" s="18">
        <f>VLOOKUP(2302,季財報!A:H,4)</f>
        <v>1</v>
      </c>
      <c r="E157" s="18">
        <f>VLOOKUP(2302,季財報!A:H,5)</f>
        <v>0</v>
      </c>
      <c r="F157" s="18">
        <f>VLOOKUP(2302,季財報!A:H,6)</f>
        <v>1</v>
      </c>
      <c r="G157" s="18">
        <f>VLOOKUP(2302,季財報!A:H,7)</f>
        <v>0</v>
      </c>
      <c r="N157" s="20">
        <f t="shared" si="2"/>
        <v>2</v>
      </c>
    </row>
    <row r="158" spans="1:14">
      <c r="A158" s="307" t="str">
        <f>HYPERLINK("http://www.wantgoo.com/stock/chart.aspx?stockno=8271","8271")</f>
        <v>8271</v>
      </c>
      <c r="C158" s="18">
        <f>VLOOKUP(8271,季財報!A:H,3)</f>
        <v>0</v>
      </c>
      <c r="D158" s="18">
        <f>VLOOKUP(8271,季財報!A:H,4)</f>
        <v>0</v>
      </c>
      <c r="E158" s="18">
        <f>VLOOKUP(8271,季財報!A:H,5)</f>
        <v>1</v>
      </c>
      <c r="F158" s="18">
        <f>VLOOKUP(8271,季財報!A:H,6)</f>
        <v>1</v>
      </c>
      <c r="G158" s="18">
        <f>VLOOKUP(8271,季財報!A:H,7)</f>
        <v>0</v>
      </c>
      <c r="N158" s="20">
        <f t="shared" si="2"/>
        <v>2</v>
      </c>
    </row>
    <row r="159" spans="1:14">
      <c r="A159" s="308" t="str">
        <f>HYPERLINK("http://www.wantgoo.com/stock/chart.aspx?stockno=6274","6274")</f>
        <v>6274</v>
      </c>
      <c r="C159" s="18">
        <f>VLOOKUP(6274,季財報!A:H,3)</f>
        <v>1</v>
      </c>
      <c r="D159" s="18">
        <f>VLOOKUP(6274,季財報!A:H,4)</f>
        <v>1</v>
      </c>
      <c r="E159" s="18">
        <f>VLOOKUP(6274,季財報!A:H,5)</f>
        <v>0</v>
      </c>
      <c r="F159" s="18">
        <f>VLOOKUP(6274,季財報!A:H,6)</f>
        <v>1</v>
      </c>
      <c r="G159" s="18">
        <f>VLOOKUP(6274,季財報!A:H,7)</f>
        <v>0</v>
      </c>
      <c r="N159" s="20">
        <f t="shared" si="2"/>
        <v>3</v>
      </c>
    </row>
    <row r="160" spans="1:14">
      <c r="A160" s="307" t="str">
        <f>HYPERLINK("http://www.wantgoo.com/stock/chart.aspx?stockno=9911","9911")</f>
        <v>9911</v>
      </c>
      <c r="C160" s="18">
        <f>VLOOKUP(9911,季財報!A:H,3)</f>
        <v>0</v>
      </c>
      <c r="D160" s="18">
        <f>VLOOKUP(9911,季財報!A:H,4)</f>
        <v>1</v>
      </c>
      <c r="E160" s="18">
        <f>VLOOKUP(9911,季財報!A:H,5)</f>
        <v>0</v>
      </c>
      <c r="F160" s="18">
        <f>VLOOKUP(9911,季財報!A:H,6)</f>
        <v>1</v>
      </c>
      <c r="G160" s="18">
        <f>VLOOKUP(9911,季財報!A:H,7)</f>
        <v>0</v>
      </c>
      <c r="N160" s="20">
        <f t="shared" si="2"/>
        <v>2</v>
      </c>
    </row>
    <row r="161" spans="1:14">
      <c r="A161" s="308" t="str">
        <f>HYPERLINK("http://www.wantgoo.com/stock/chart.aspx?stockno=6298","6298")</f>
        <v>6298</v>
      </c>
      <c r="C161" s="18">
        <f>VLOOKUP(6298,季財報!A:H,3)</f>
        <v>0</v>
      </c>
      <c r="D161" s="18">
        <f>VLOOKUP(6298,季財報!A:H,4)</f>
        <v>1</v>
      </c>
      <c r="E161" s="18">
        <f>VLOOKUP(6298,季財報!A:H,5)</f>
        <v>1</v>
      </c>
      <c r="F161" s="18">
        <f>VLOOKUP(6298,季財報!A:H,6)</f>
        <v>1</v>
      </c>
      <c r="G161" s="18">
        <f>VLOOKUP(6298,季財報!A:H,7)</f>
        <v>0</v>
      </c>
      <c r="N161" s="20">
        <f t="shared" si="2"/>
        <v>3</v>
      </c>
    </row>
    <row r="162" spans="1:14">
      <c r="A162" s="307" t="str">
        <f>HYPERLINK("http://www.wantgoo.com/stock/chart.aspx?stockno=6192","6192")</f>
        <v>6192</v>
      </c>
      <c r="C162" s="18">
        <f>VLOOKUP(6192,季財報!A:H,3)</f>
        <v>0</v>
      </c>
      <c r="D162" s="18">
        <f>VLOOKUP(6192,季財報!A:H,4)</f>
        <v>1</v>
      </c>
      <c r="E162" s="18">
        <f>VLOOKUP(6192,季財報!A:H,5)</f>
        <v>1</v>
      </c>
      <c r="F162" s="18">
        <f>VLOOKUP(6192,季財報!A:H,6)</f>
        <v>1</v>
      </c>
      <c r="G162" s="18">
        <f>VLOOKUP(6192,季財報!A:H,7)</f>
        <v>0</v>
      </c>
      <c r="N162" s="20">
        <f t="shared" si="2"/>
        <v>3</v>
      </c>
    </row>
    <row r="163" spans="1:14">
      <c r="A163" s="307" t="str">
        <f>HYPERLINK("http://www.wantgoo.com/stock/chart.aspx?stockno=3684","3684")</f>
        <v>3684</v>
      </c>
      <c r="C163" s="18">
        <f>VLOOKUP(3684,季財報!A:H,3)</f>
        <v>1</v>
      </c>
      <c r="D163" s="18">
        <f>VLOOKUP(3684,季財報!A:H,4)</f>
        <v>1</v>
      </c>
      <c r="E163" s="18">
        <f>VLOOKUP(3684,季財報!A:H,5)</f>
        <v>0</v>
      </c>
      <c r="F163" s="18">
        <f>VLOOKUP(3684,季財報!A:H,6)</f>
        <v>1</v>
      </c>
      <c r="G163" s="18">
        <f>VLOOKUP(3684,季財報!A:H,7)</f>
        <v>0</v>
      </c>
      <c r="N163" s="20">
        <f t="shared" si="2"/>
        <v>3</v>
      </c>
    </row>
    <row r="164" spans="1:14">
      <c r="A164" s="307" t="str">
        <f>HYPERLINK("http://www.wantgoo.com/stock/chart.aspx?stockno=2317","2317")</f>
        <v>2317</v>
      </c>
      <c r="C164" s="18">
        <f>VLOOKUP(2317,季財報!A:H,3)</f>
        <v>0</v>
      </c>
      <c r="D164" s="18">
        <f>VLOOKUP(2317,季財報!A:H,4)</f>
        <v>1</v>
      </c>
      <c r="E164" s="18">
        <f>VLOOKUP(2317,季財報!A:H,5)</f>
        <v>0</v>
      </c>
      <c r="F164" s="18">
        <f>VLOOKUP(2317,季財報!A:H,6)</f>
        <v>0</v>
      </c>
      <c r="G164" s="18">
        <f>VLOOKUP(2317,季財報!A:H,7)</f>
        <v>0</v>
      </c>
      <c r="N164" s="20">
        <f t="shared" si="2"/>
        <v>1</v>
      </c>
    </row>
    <row r="165" spans="1:14">
      <c r="A165" s="307" t="str">
        <f>HYPERLINK("http://www.wantgoo.com/stock/chart.aspx?stockno=6206","6206")</f>
        <v>6206</v>
      </c>
      <c r="C165" s="18">
        <f>VLOOKUP(6206,季財報!A:H,3)</f>
        <v>0</v>
      </c>
      <c r="D165" s="18">
        <f>VLOOKUP(6206,季財報!A:H,4)</f>
        <v>1</v>
      </c>
      <c r="E165" s="18">
        <f>VLOOKUP(6206,季財報!A:H,5)</f>
        <v>0</v>
      </c>
      <c r="F165" s="18">
        <f>VLOOKUP(6206,季財報!A:H,6)</f>
        <v>1</v>
      </c>
      <c r="G165" s="18">
        <f>VLOOKUP(6206,季財報!A:H,7)</f>
        <v>0</v>
      </c>
      <c r="N165" s="20">
        <f t="shared" si="2"/>
        <v>2</v>
      </c>
    </row>
    <row r="166" spans="1:14">
      <c r="A166" s="307" t="str">
        <f>HYPERLINK("http://www.wantgoo.com/stock/chart.aspx?stockno=8050","8050")</f>
        <v>8050</v>
      </c>
      <c r="C166" s="18">
        <f>VLOOKUP(8050,季財報!A:H,3)</f>
        <v>0</v>
      </c>
      <c r="D166" s="18">
        <f>VLOOKUP(8050,季財報!A:H,4)</f>
        <v>1</v>
      </c>
      <c r="E166" s="18">
        <f>VLOOKUP(8050,季財報!A:H,5)</f>
        <v>0</v>
      </c>
      <c r="F166" s="18">
        <f>VLOOKUP(8050,季財報!A:H,6)</f>
        <v>1</v>
      </c>
      <c r="G166" s="18">
        <f>VLOOKUP(8050,季財報!A:H,7)</f>
        <v>0</v>
      </c>
      <c r="N166" s="20">
        <f t="shared" si="2"/>
        <v>2</v>
      </c>
    </row>
    <row r="167" spans="1:14">
      <c r="A167" s="307" t="str">
        <f>HYPERLINK("http://www.wantgoo.com/stock/chart.aspx?stockno=8150","8150")</f>
        <v>8150</v>
      </c>
      <c r="C167" s="18">
        <f>VLOOKUP(8150,季財報!A:H,3)</f>
        <v>0</v>
      </c>
      <c r="D167" s="18">
        <f>VLOOKUP(8150,季財報!A:H,4)</f>
        <v>1</v>
      </c>
      <c r="E167" s="18">
        <f>VLOOKUP(8150,季財報!A:H,5)</f>
        <v>0</v>
      </c>
      <c r="F167" s="18">
        <f>VLOOKUP(8150,季財報!A:H,6)</f>
        <v>1</v>
      </c>
      <c r="G167" s="18">
        <f>VLOOKUP(8150,季財報!A:H,7)</f>
        <v>0</v>
      </c>
      <c r="N167" s="20">
        <f t="shared" si="2"/>
        <v>2</v>
      </c>
    </row>
    <row r="168" spans="1:14">
      <c r="A168" s="308" t="str">
        <f>HYPERLINK("http://www.wantgoo.com/stock/chart.aspx?stockno=6189","6189")</f>
        <v>6189</v>
      </c>
      <c r="C168" s="18">
        <f>VLOOKUP(6189,季財報!A:H,3)</f>
        <v>1</v>
      </c>
      <c r="D168" s="18">
        <f>VLOOKUP(6189,季財報!A:H,4)</f>
        <v>1</v>
      </c>
      <c r="E168" s="18">
        <f>VLOOKUP(6189,季財報!A:H,5)</f>
        <v>1</v>
      </c>
      <c r="F168" s="18">
        <f>VLOOKUP(6189,季財報!A:H,6)</f>
        <v>1</v>
      </c>
      <c r="G168" s="18">
        <f>VLOOKUP(6189,季財報!A:H,7)</f>
        <v>0</v>
      </c>
      <c r="N168" s="20">
        <f t="shared" si="2"/>
        <v>4</v>
      </c>
    </row>
    <row r="169" spans="1:14">
      <c r="A169" s="307" t="str">
        <f>HYPERLINK("http://www.wantgoo.com/stock/chart.aspx?stockno=1264","1264")</f>
        <v>1264</v>
      </c>
      <c r="C169" s="18">
        <f>VLOOKUP(1264,季財報!A:H,3)</f>
        <v>0</v>
      </c>
      <c r="D169" s="18">
        <f>VLOOKUP(1264,季財報!A:H,4)</f>
        <v>1</v>
      </c>
      <c r="E169" s="18">
        <f>VLOOKUP(1264,季財報!A:H,5)</f>
        <v>0</v>
      </c>
      <c r="F169" s="18">
        <f>VLOOKUP(1264,季財報!A:H,6)</f>
        <v>1</v>
      </c>
      <c r="G169" s="18">
        <f>VLOOKUP(1264,季財報!A:H,7)</f>
        <v>0</v>
      </c>
      <c r="N169" s="20">
        <f t="shared" si="2"/>
        <v>2</v>
      </c>
    </row>
    <row r="170" spans="1:14">
      <c r="A170" s="307" t="str">
        <f>HYPERLINK("http://www.wantgoo.com/stock/chart.aspx?stockno=3060","3060")</f>
        <v>3060</v>
      </c>
      <c r="C170" s="18">
        <f>VLOOKUP(3060,季財報!A:H,3)</f>
        <v>1</v>
      </c>
      <c r="D170" s="18">
        <f>VLOOKUP(3060,季財報!A:H,4)</f>
        <v>1</v>
      </c>
      <c r="E170" s="18">
        <f>VLOOKUP(3060,季財報!A:H,5)</f>
        <v>0</v>
      </c>
      <c r="F170" s="18">
        <f>VLOOKUP(3060,季財報!A:H,6)</f>
        <v>1</v>
      </c>
      <c r="G170" s="18">
        <f>VLOOKUP(3060,季財報!A:H,7)</f>
        <v>0</v>
      </c>
      <c r="N170" s="20">
        <f t="shared" si="2"/>
        <v>3</v>
      </c>
    </row>
    <row r="171" spans="1:14">
      <c r="A171" s="308" t="str">
        <f>HYPERLINK("http://www.wantgoo.com/stock/chart.aspx?stockno=2426","2426")</f>
        <v>2426</v>
      </c>
      <c r="C171" s="18">
        <f>VLOOKUP(2426,季財報!A:H,3)</f>
        <v>0</v>
      </c>
      <c r="D171" s="18">
        <f>VLOOKUP(2426,季財報!A:H,4)</f>
        <v>1</v>
      </c>
      <c r="E171" s="18">
        <f>VLOOKUP(2426,季財報!A:H,5)</f>
        <v>0</v>
      </c>
      <c r="F171" s="18">
        <f>VLOOKUP(2426,季財報!A:H,6)</f>
        <v>1</v>
      </c>
      <c r="G171" s="18">
        <f>VLOOKUP(2426,季財報!A:H,7)</f>
        <v>0</v>
      </c>
      <c r="N171" s="20">
        <f t="shared" si="2"/>
        <v>2</v>
      </c>
    </row>
    <row r="172" spans="1:14">
      <c r="A172" s="307" t="str">
        <f>HYPERLINK("http://www.wantgoo.com/stock/chart.aspx?stockno=4991","4991")</f>
        <v>4991</v>
      </c>
      <c r="C172" s="18">
        <f>VLOOKUP(4991,季財報!A:H,3)</f>
        <v>1</v>
      </c>
      <c r="D172" s="18">
        <f>VLOOKUP(4991,季財報!A:H,4)</f>
        <v>1</v>
      </c>
      <c r="E172" s="18">
        <f>VLOOKUP(4991,季財報!A:H,5)</f>
        <v>0</v>
      </c>
      <c r="F172" s="18">
        <f>VLOOKUP(4991,季財報!A:H,6)</f>
        <v>1</v>
      </c>
      <c r="G172" s="18">
        <f>VLOOKUP(4991,季財報!A:H,7)</f>
        <v>1</v>
      </c>
      <c r="N172" s="20">
        <f t="shared" si="2"/>
        <v>4</v>
      </c>
    </row>
    <row r="173" spans="1:14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4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4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4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4">
      <c r="A177" s="308" t="str">
        <f>HYPERLINK("http://www.wantgoo.com/stock/chart.aspx?stockno=8299","8299")</f>
        <v>8299</v>
      </c>
      <c r="C177" s="18">
        <f>VLOOKUP(8299,季財報!A:H,3)</f>
        <v>1</v>
      </c>
      <c r="D177" s="18">
        <f>VLOOKUP(8299,季財報!A:H,4)</f>
        <v>1</v>
      </c>
      <c r="E177" s="18">
        <f>VLOOKUP(8299,季財報!A:H,5)</f>
        <v>1</v>
      </c>
      <c r="F177" s="18">
        <f>VLOOKUP(8299,季財報!A:H,6)</f>
        <v>1</v>
      </c>
      <c r="G177" s="18">
        <f>VLOOKUP(8299,季財報!A:H,7)</f>
        <v>0</v>
      </c>
      <c r="N177" s="20">
        <f t="shared" si="2"/>
        <v>4</v>
      </c>
    </row>
    <row r="178" spans="1:14">
      <c r="A178" s="308" t="str">
        <f>HYPERLINK("http://www.wantgoo.com/stock/chart.aspx?stockno=9924","9924")</f>
        <v>9924</v>
      </c>
      <c r="C178" s="18">
        <f>VLOOKUP(9924,季財報!A:H,3)</f>
        <v>1</v>
      </c>
      <c r="D178" s="18">
        <f>VLOOKUP(9924,季財報!A:H,4)</f>
        <v>1</v>
      </c>
      <c r="E178" s="18">
        <f>VLOOKUP(9924,季財報!A:H,5)</f>
        <v>1</v>
      </c>
      <c r="F178" s="18">
        <f>VLOOKUP(9924,季財報!A:H,6)</f>
        <v>1</v>
      </c>
      <c r="G178" s="18">
        <f>VLOOKUP(9924,季財報!A:H,7)</f>
        <v>0</v>
      </c>
      <c r="N178" s="20">
        <f t="shared" si="2"/>
        <v>4</v>
      </c>
    </row>
    <row r="179" spans="1:14">
      <c r="A179" s="307" t="str">
        <f>HYPERLINK("http://www.wantgoo.com/stock/chart.aspx?stockno=2106","2106")</f>
        <v>2106</v>
      </c>
      <c r="C179" s="18">
        <f>VLOOKUP(2106,季財報!A:H,3)</f>
        <v>1</v>
      </c>
      <c r="D179" s="18">
        <f>VLOOKUP(2106,季財報!A:H,4)</f>
        <v>1</v>
      </c>
      <c r="E179" s="18">
        <f>VLOOKUP(2106,季財報!A:H,5)</f>
        <v>0</v>
      </c>
      <c r="F179" s="18">
        <f>VLOOKUP(2106,季財報!A:H,6)</f>
        <v>1</v>
      </c>
      <c r="G179" s="18">
        <f>VLOOKUP(2106,季財報!A:H,7)</f>
        <v>0</v>
      </c>
      <c r="N179" s="20">
        <f t="shared" si="2"/>
        <v>3</v>
      </c>
    </row>
    <row r="180" spans="1:14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4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4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4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4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4">
      <c r="A185" s="307" t="str">
        <f>HYPERLINK("http://www.wantgoo.com/stock/chart.aspx?stockno=6277","6277")</f>
        <v>6277</v>
      </c>
      <c r="C185" s="18">
        <f>VLOOKUP(6277,季財報!A:H,3)</f>
        <v>0</v>
      </c>
      <c r="D185" s="18">
        <f>VLOOKUP(6277,季財報!A:H,4)</f>
        <v>1</v>
      </c>
      <c r="E185" s="18">
        <f>VLOOKUP(6277,季財報!A:H,5)</f>
        <v>0</v>
      </c>
      <c r="F185" s="18">
        <f>VLOOKUP(6277,季財報!A:H,6)</f>
        <v>1</v>
      </c>
      <c r="G185" s="18">
        <f>VLOOKUP(6277,季財報!A:H,7)</f>
        <v>0</v>
      </c>
      <c r="N185" s="20">
        <f t="shared" si="2"/>
        <v>2</v>
      </c>
    </row>
    <row r="186" spans="1:14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4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4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4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4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4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4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9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9">
      <c r="A194" s="307" t="str">
        <f>HYPERLINK("http://www.wantgoo.com/stock/chart.aspx?stockno=8210","8210")</f>
        <v>8210</v>
      </c>
      <c r="C194" s="18">
        <f>VLOOKUP(8210,季財報!A:H,3)</f>
        <v>1</v>
      </c>
      <c r="D194" s="18">
        <f>VLOOKUP(8210,季財報!A:H,4)</f>
        <v>1</v>
      </c>
      <c r="E194" s="18">
        <f>VLOOKUP(8210,季財報!A:H,5)</f>
        <v>1</v>
      </c>
      <c r="F194" s="18">
        <f>VLOOKUP(8210,季財報!A:H,6)</f>
        <v>1</v>
      </c>
      <c r="G194" s="18">
        <f>VLOOKUP(8210,季財報!A:H,7)</f>
        <v>0</v>
      </c>
      <c r="N194" s="20">
        <f t="shared" si="2"/>
        <v>4</v>
      </c>
    </row>
    <row r="195" spans="1:19">
      <c r="A195" s="307" t="str">
        <f>HYPERLINK("http://www.wantgoo.com/stock/chart.aspx?stockno=3454","3454")</f>
        <v>3454</v>
      </c>
      <c r="C195" s="18">
        <f>VLOOKUP(3454,季財報!A:H,3)</f>
        <v>0</v>
      </c>
      <c r="D195" s="18">
        <f>VLOOKUP(3454,季財報!A:H,4)</f>
        <v>1</v>
      </c>
      <c r="E195" s="18">
        <f>VLOOKUP(3454,季財報!A:H,5)</f>
        <v>0</v>
      </c>
      <c r="F195" s="18">
        <f>VLOOKUP(3454,季財報!A:H,6)</f>
        <v>1</v>
      </c>
      <c r="G195" s="18">
        <f>VLOOKUP(3454,季財報!A:H,7)</f>
        <v>0</v>
      </c>
      <c r="N195" s="20">
        <f t="shared" si="2"/>
        <v>2</v>
      </c>
    </row>
    <row r="196" spans="1:19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9">
      <c r="A197" s="307" t="str">
        <f>HYPERLINK("http://www.wantgoo.com/stock/chart.aspx?stockno=5490","5490")</f>
        <v>5490</v>
      </c>
      <c r="C197" s="18">
        <f>VLOOKUP(5490,季財報!A:H,3)</f>
        <v>0</v>
      </c>
      <c r="D197" s="18">
        <f>VLOOKUP(5490,季財報!A:H,4)</f>
        <v>1</v>
      </c>
      <c r="E197" s="18">
        <f>VLOOKUP(5490,季財報!A:H,5)</f>
        <v>0</v>
      </c>
      <c r="F197" s="18">
        <f>VLOOKUP(5490,季財報!A:H,6)</f>
        <v>1</v>
      </c>
      <c r="G197" s="18">
        <f>VLOOKUP(5490,季財報!A:H,7)</f>
        <v>1</v>
      </c>
      <c r="N197" s="20">
        <f t="shared" si="3"/>
        <v>3</v>
      </c>
    </row>
    <row r="198" spans="1:19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9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9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9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9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9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9" s="317" customFormat="1">
      <c r="A204" s="309" t="str">
        <f>HYPERLINK("http://www.wantgoo.com/stock/chart.aspx?stockno=8049","8049")</f>
        <v>8049</v>
      </c>
      <c r="B204" s="310"/>
      <c r="C204" s="311">
        <f>VLOOKUP(8049,季財報!A:H,3)</f>
        <v>1</v>
      </c>
      <c r="D204" s="311">
        <f>VLOOKUP(8049,季財報!A:H,4)</f>
        <v>1</v>
      </c>
      <c r="E204" s="311">
        <f>VLOOKUP(8049,季財報!A:H,5)</f>
        <v>2</v>
      </c>
      <c r="F204" s="311">
        <f>VLOOKUP(8049,季財報!A:H,6)</f>
        <v>1</v>
      </c>
      <c r="G204" s="311">
        <f>VLOOKUP(8049,季財報!A:H,7)</f>
        <v>0</v>
      </c>
      <c r="H204" s="312"/>
      <c r="I204" s="312"/>
      <c r="J204" s="312"/>
      <c r="K204" s="312"/>
      <c r="L204" s="312"/>
      <c r="M204" s="313"/>
      <c r="N204" s="312">
        <f t="shared" si="3"/>
        <v>5</v>
      </c>
      <c r="O204" s="314"/>
      <c r="P204" s="314"/>
      <c r="Q204" s="314"/>
      <c r="R204" s="314"/>
      <c r="S204" s="315"/>
    </row>
    <row r="205" spans="1:19" s="317" customFormat="1">
      <c r="A205" s="309" t="str">
        <f>HYPERLINK("http://www.wantgoo.com/stock/chart.aspx?stockno=1537","1537")</f>
        <v>1537</v>
      </c>
      <c r="B205" s="310"/>
      <c r="C205" s="311">
        <f>VLOOKUP(1537,季財報!A:H,3)</f>
        <v>1</v>
      </c>
      <c r="D205" s="311">
        <f>VLOOKUP(1537,季財報!A:H,4)</f>
        <v>1</v>
      </c>
      <c r="E205" s="311">
        <f>VLOOKUP(1537,季財報!A:H,5)</f>
        <v>0</v>
      </c>
      <c r="F205" s="311">
        <f>VLOOKUP(1537,季財報!A:H,6)</f>
        <v>1</v>
      </c>
      <c r="G205" s="311">
        <f>VLOOKUP(1537,季財報!A:H,7)</f>
        <v>1</v>
      </c>
      <c r="H205" s="312"/>
      <c r="I205" s="312"/>
      <c r="J205" s="312"/>
      <c r="K205" s="312"/>
      <c r="L205" s="312"/>
      <c r="M205" s="313"/>
      <c r="N205" s="312">
        <f t="shared" si="3"/>
        <v>4</v>
      </c>
      <c r="O205" s="314"/>
      <c r="P205" s="314"/>
      <c r="Q205" s="314"/>
      <c r="R205" s="314"/>
      <c r="S205" s="315"/>
    </row>
    <row r="206" spans="1:19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9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9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4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4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4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4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4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4">
      <c r="A214" s="308" t="str">
        <f>HYPERLINK("http://www.wantgoo.com/stock/chart.aspx?stockno=3558","3558")</f>
        <v>3558</v>
      </c>
      <c r="C214" s="18">
        <f>VLOOKUP(3558,季財報!A:H,3)</f>
        <v>1</v>
      </c>
      <c r="D214" s="18">
        <f>VLOOKUP(3558,季財報!A:H,4)</f>
        <v>1</v>
      </c>
      <c r="E214" s="18">
        <f>VLOOKUP(3558,季財報!A:H,5)</f>
        <v>2</v>
      </c>
      <c r="F214" s="18">
        <f>VLOOKUP(3558,季財報!A:H,6)</f>
        <v>1</v>
      </c>
      <c r="G214" s="18">
        <f>VLOOKUP(3558,季財報!A:H,7)</f>
        <v>1</v>
      </c>
      <c r="N214" s="20">
        <f t="shared" si="3"/>
        <v>6</v>
      </c>
    </row>
    <row r="215" spans="1:14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4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4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4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4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4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4">
      <c r="A221" s="308" t="str">
        <f>HYPERLINK("http://www.wantgoo.com/stock/chart.aspx?stockno=1726","1726")</f>
        <v>1726</v>
      </c>
      <c r="C221" s="18">
        <f>VLOOKUP(1726,季財報!A:H,3)</f>
        <v>1</v>
      </c>
      <c r="D221" s="18">
        <f>VLOOKUP(1726,季財報!A:H,4)</f>
        <v>1</v>
      </c>
      <c r="E221" s="18">
        <f>VLOOKUP(1726,季財報!A:H,5)</f>
        <v>0</v>
      </c>
      <c r="F221" s="18">
        <f>VLOOKUP(1726,季財報!A:H,6)</f>
        <v>1</v>
      </c>
      <c r="G221" s="18">
        <f>VLOOKUP(1726,季財報!A:H,7)</f>
        <v>0</v>
      </c>
      <c r="N221" s="20">
        <f t="shared" si="3"/>
        <v>3</v>
      </c>
    </row>
    <row r="222" spans="1:14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4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4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4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4">
      <c r="A226" s="307" t="str">
        <f>HYPERLINK("http://www.wantgoo.com/stock/chart.aspx?stockno=3088","3088")</f>
        <v>3088</v>
      </c>
      <c r="C226" s="18">
        <f>VLOOKUP(3088,季財報!A:H,3)</f>
        <v>1</v>
      </c>
      <c r="D226" s="18">
        <f>VLOOKUP(3088,季財報!A:H,4)</f>
        <v>1</v>
      </c>
      <c r="E226" s="18">
        <f>VLOOKUP(3088,季財報!A:H,5)</f>
        <v>1</v>
      </c>
      <c r="F226" s="18">
        <f>VLOOKUP(3088,季財報!A:H,6)</f>
        <v>1</v>
      </c>
      <c r="G226" s="18">
        <f>VLOOKUP(3088,季財報!A:H,7)</f>
        <v>0</v>
      </c>
      <c r="N226" s="20">
        <f t="shared" si="3"/>
        <v>4</v>
      </c>
    </row>
    <row r="227" spans="1:14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4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4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4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4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4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4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4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4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4">
      <c r="A236" s="308" t="str">
        <f>HYPERLINK("http://www.wantgoo.com/stock/chart.aspx?stockno=8255","8255")</f>
        <v>8255</v>
      </c>
      <c r="C236" s="18">
        <f>VLOOKUP(8255,季財報!A:H,3)</f>
        <v>1</v>
      </c>
      <c r="D236" s="18">
        <f>VLOOKUP(8255,季財報!A:H,4)</f>
        <v>1</v>
      </c>
      <c r="E236" s="18">
        <f>VLOOKUP(8255,季財報!A:H,5)</f>
        <v>0</v>
      </c>
      <c r="F236" s="18">
        <f>VLOOKUP(8255,季財報!A:H,6)</f>
        <v>1</v>
      </c>
      <c r="G236" s="18">
        <f>VLOOKUP(8255,季財報!A:H,7)</f>
        <v>0</v>
      </c>
      <c r="N236" s="20">
        <f t="shared" si="3"/>
        <v>3</v>
      </c>
    </row>
    <row r="237" spans="1:14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4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4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4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4">
      <c r="A273" s="307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 t="shared" si="4"/>
        <v>4</v>
      </c>
    </row>
    <row r="274" spans="1:14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4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4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4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4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4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4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4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4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4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4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4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4">
      <c r="A286" s="308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 t="shared" si="4"/>
        <v>2</v>
      </c>
    </row>
    <row r="287" spans="1:14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4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9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9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9">
      <c r="A291" s="308" t="str">
        <f>HYPERLINK("http://www.wantgoo.com/stock/chart.aspx?stockno=4935","4935")</f>
        <v>4935</v>
      </c>
      <c r="C291" s="18">
        <f>VLOOKUP(4935,季財報!A:H,3)</f>
        <v>1</v>
      </c>
      <c r="D291" s="18">
        <f>VLOOKUP(4935,季財報!A:H,4)</f>
        <v>1</v>
      </c>
      <c r="E291" s="18">
        <f>VLOOKUP(4935,季財報!A:H,5)</f>
        <v>2</v>
      </c>
      <c r="F291" s="18">
        <f>VLOOKUP(4935,季財報!A:H,6)</f>
        <v>1</v>
      </c>
      <c r="G291" s="18">
        <f>VLOOKUP(4935,季財報!A:H,7)</f>
        <v>1</v>
      </c>
      <c r="N291" s="20">
        <f t="shared" si="4"/>
        <v>6</v>
      </c>
    </row>
    <row r="292" spans="1:19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9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9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9">
      <c r="A295" s="307" t="str">
        <f>HYPERLINK("http://www.wantgoo.com/stock/chart.aspx?stockno=3234","3234")</f>
        <v>3234</v>
      </c>
      <c r="C295" s="18">
        <f>VLOOKUP(3234,季財報!A:H,3)</f>
        <v>1</v>
      </c>
      <c r="D295" s="18">
        <f>VLOOKUP(3234,季財報!A:H,4)</f>
        <v>1</v>
      </c>
      <c r="E295" s="18">
        <f>VLOOKUP(3234,季財報!A:H,5)</f>
        <v>2</v>
      </c>
      <c r="F295" s="18">
        <f>VLOOKUP(3234,季財報!A:H,6)</f>
        <v>1</v>
      </c>
      <c r="G295" s="18">
        <f>VLOOKUP(3234,季財報!A:H,7)</f>
        <v>1</v>
      </c>
      <c r="N295" s="20">
        <f t="shared" si="4"/>
        <v>6</v>
      </c>
    </row>
    <row r="296" spans="1:19">
      <c r="A296" s="307" t="str">
        <f>HYPERLINK("http://www.wantgoo.com/stock/chart.aspx?stockno=8422","8422")</f>
        <v>8422</v>
      </c>
      <c r="C296" s="18">
        <f>VLOOKUP(8422,季財報!A:H,3)</f>
        <v>1</v>
      </c>
      <c r="D296" s="18">
        <f>VLOOKUP(8422,季財報!A:H,4)</f>
        <v>1</v>
      </c>
      <c r="E296" s="18">
        <f>VLOOKUP(8422,季財報!A:H,5)</f>
        <v>2</v>
      </c>
      <c r="F296" s="18">
        <f>VLOOKUP(8422,季財報!A:H,6)</f>
        <v>1</v>
      </c>
      <c r="G296" s="18">
        <f>VLOOKUP(8422,季財報!A:H,7)</f>
        <v>0</v>
      </c>
      <c r="N296" s="20">
        <f t="shared" si="4"/>
        <v>5</v>
      </c>
    </row>
    <row r="297" spans="1:19">
      <c r="A297" s="307" t="str">
        <f>HYPERLINK("http://www.wantgoo.com/stock/chart.aspx?stockno=4126","4126")</f>
        <v>4126</v>
      </c>
      <c r="C297" s="18">
        <f>VLOOKUP(4126,季財報!A:H,3)</f>
        <v>1</v>
      </c>
      <c r="D297" s="18">
        <f>VLOOKUP(4126,季財報!A:H,4)</f>
        <v>1</v>
      </c>
      <c r="E297" s="18">
        <f>VLOOKUP(4126,季財報!A:H,5)</f>
        <v>1</v>
      </c>
      <c r="F297" s="18">
        <f>VLOOKUP(4126,季財報!A:H,6)</f>
        <v>1</v>
      </c>
      <c r="G297" s="18">
        <f>VLOOKUP(4126,季財報!A:H,7)</f>
        <v>0</v>
      </c>
      <c r="N297" s="20">
        <f t="shared" si="4"/>
        <v>4</v>
      </c>
    </row>
    <row r="298" spans="1:19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9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9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9" s="317" customFormat="1">
      <c r="A301" s="309" t="str">
        <f>HYPERLINK("http://www.wantgoo.com/stock/chart.aspx?stockno=2397","2397")</f>
        <v>2397</v>
      </c>
      <c r="B301" s="310"/>
      <c r="C301" s="311">
        <f>VLOOKUP(2397,季財報!A:H,3)</f>
        <v>1</v>
      </c>
      <c r="D301" s="311">
        <f>VLOOKUP(2397,季財報!A:H,4)</f>
        <v>1</v>
      </c>
      <c r="E301" s="311">
        <f>VLOOKUP(2397,季財報!A:H,5)</f>
        <v>0</v>
      </c>
      <c r="F301" s="311">
        <f>VLOOKUP(2397,季財報!A:H,6)</f>
        <v>1</v>
      </c>
      <c r="G301" s="311">
        <f>VLOOKUP(2397,季財報!A:H,7)</f>
        <v>0</v>
      </c>
      <c r="H301" s="312"/>
      <c r="I301" s="312"/>
      <c r="J301" s="312"/>
      <c r="K301" s="312"/>
      <c r="L301" s="312"/>
      <c r="M301" s="313"/>
      <c r="N301" s="312">
        <f t="shared" si="4"/>
        <v>3</v>
      </c>
      <c r="O301" s="314"/>
      <c r="P301" s="314"/>
      <c r="Q301" s="314"/>
      <c r="R301" s="314"/>
      <c r="S301" s="315"/>
    </row>
    <row r="302" spans="1:19">
      <c r="A302" s="307" t="str">
        <f>HYPERLINK("http://www.wantgoo.com/stock/chart.aspx?stockno=9914","9914")</f>
        <v>9914</v>
      </c>
      <c r="C302" s="18">
        <f>VLOOKUP(9914,季財報!A:H,3)</f>
        <v>1</v>
      </c>
      <c r="D302" s="18">
        <f>VLOOKUP(9914,季財報!A:H,4)</f>
        <v>1</v>
      </c>
      <c r="E302" s="18">
        <f>VLOOKUP(9914,季財報!A:H,5)</f>
        <v>1</v>
      </c>
      <c r="F302" s="18">
        <f>VLOOKUP(9914,季財報!A:H,6)</f>
        <v>1</v>
      </c>
      <c r="G302" s="18">
        <f>VLOOKUP(9914,季財報!A:H,7)</f>
        <v>0</v>
      </c>
      <c r="N302" s="20">
        <f t="shared" si="4"/>
        <v>4</v>
      </c>
    </row>
    <row r="303" spans="1:19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9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4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4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4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4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4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4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4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4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4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4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4">
      <c r="A331" s="308" t="str">
        <f>HYPERLINK("http://www.wantgoo.com/stock/chart.aspx?stockno=2377","2377")</f>
        <v>2377</v>
      </c>
      <c r="C331" s="18">
        <f>VLOOKUP(2377,季財報!A:H,3)</f>
        <v>1</v>
      </c>
      <c r="D331" s="18">
        <f>VLOOKUP(2377,季財報!A:H,4)</f>
        <v>1</v>
      </c>
      <c r="E331" s="18">
        <f>VLOOKUP(2377,季財報!A:H,5)</f>
        <v>2</v>
      </c>
      <c r="F331" s="18">
        <f>VLOOKUP(2377,季財報!A:H,6)</f>
        <v>1</v>
      </c>
      <c r="G331" s="18">
        <f>VLOOKUP(2377,季財報!A:H,7)</f>
        <v>0</v>
      </c>
      <c r="N331" s="20">
        <f t="shared" si="5"/>
        <v>5</v>
      </c>
    </row>
    <row r="332" spans="1:14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4">
      <c r="A333" s="307" t="str">
        <f>HYPERLINK("http://www.wantgoo.com/stock/chart.aspx?stockno=4912","4912")</f>
        <v>4912</v>
      </c>
      <c r="C333" s="18">
        <f>VLOOKUP(4912,季財報!A:H,3)</f>
        <v>0</v>
      </c>
      <c r="D333" s="18">
        <f>VLOOKUP(4912,季財報!A:H,4)</f>
        <v>1</v>
      </c>
      <c r="E333" s="18">
        <f>VLOOKUP(4912,季財報!A:H,5)</f>
        <v>0</v>
      </c>
      <c r="F333" s="18">
        <f>VLOOKUP(4912,季財報!A:H,6)</f>
        <v>1</v>
      </c>
      <c r="G333" s="18">
        <f>VLOOKUP(4912,季財報!A:H,7)</f>
        <v>0</v>
      </c>
      <c r="N333" s="20">
        <f t="shared" si="5"/>
        <v>2</v>
      </c>
    </row>
    <row r="334" spans="1:14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4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4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4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4">
      <c r="A354" s="307" t="str">
        <f>HYPERLINK("http://www.wantgoo.com/stock/chart.aspx?stockno=4103","4103")</f>
        <v>4103</v>
      </c>
      <c r="C354" s="18">
        <f>VLOOKUP(4103,季財報!A:H,3)</f>
        <v>1</v>
      </c>
      <c r="D354" s="18">
        <f>VLOOKUP(4103,季財報!A:H,4)</f>
        <v>1</v>
      </c>
      <c r="E354" s="18">
        <f>VLOOKUP(4103,季財報!A:H,5)</f>
        <v>1</v>
      </c>
      <c r="F354" s="18">
        <f>VLOOKUP(4103,季財報!A:H,6)</f>
        <v>0</v>
      </c>
      <c r="G354" s="18">
        <f>VLOOKUP(4103,季財報!A:H,7)</f>
        <v>0</v>
      </c>
      <c r="N354" s="20">
        <f t="shared" si="5"/>
        <v>3</v>
      </c>
    </row>
    <row r="355" spans="1:14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4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4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4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4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4">
      <c r="A360" s="307" t="str">
        <f>HYPERLINK("http://www.wantgoo.com/stock/chart.aspx?stockno=8114","8114")</f>
        <v>8114</v>
      </c>
      <c r="C360" s="18">
        <f>VLOOKUP(8114,季財報!A:H,3)</f>
        <v>1</v>
      </c>
      <c r="D360" s="18">
        <f>VLOOKUP(8114,季財報!A:H,4)</f>
        <v>1</v>
      </c>
      <c r="E360" s="18">
        <f>VLOOKUP(8114,季財報!A:H,5)</f>
        <v>1</v>
      </c>
      <c r="F360" s="18">
        <f>VLOOKUP(8114,季財報!A:H,6)</f>
        <v>1</v>
      </c>
      <c r="G360" s="18">
        <f>VLOOKUP(8114,季財報!A:H,7)</f>
        <v>0</v>
      </c>
      <c r="N360" s="20">
        <f t="shared" si="5"/>
        <v>4</v>
      </c>
    </row>
    <row r="361" spans="1:14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4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4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4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4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4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4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4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4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4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4">
      <c r="A371" s="307" t="str">
        <f>HYPERLINK("http://www.wantgoo.com/stock/chart.aspx?stockno=2059","2059")</f>
        <v>2059</v>
      </c>
      <c r="C371" s="18">
        <f>VLOOKUP(2059,季財報!A:H,3)</f>
        <v>1</v>
      </c>
      <c r="D371" s="18">
        <f>VLOOKUP(2059,季財報!A:H,4)</f>
        <v>1</v>
      </c>
      <c r="E371" s="18">
        <f>VLOOKUP(2059,季財報!A:H,5)</f>
        <v>1</v>
      </c>
      <c r="F371" s="18">
        <f>VLOOKUP(2059,季財報!A:H,6)</f>
        <v>1</v>
      </c>
      <c r="G371" s="18">
        <f>VLOOKUP(2059,季財報!A:H,7)</f>
        <v>0</v>
      </c>
      <c r="N371" s="20">
        <f t="shared" si="5"/>
        <v>4</v>
      </c>
    </row>
    <row r="372" spans="1:14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4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4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4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4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4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4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4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4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4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4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4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4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4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4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4">
      <c r="A387" s="308" t="str">
        <f>HYPERLINK("http://www.wantgoo.com/stock/chart.aspx?stockno=9904","9904")</f>
        <v>9904</v>
      </c>
      <c r="C387" s="18">
        <f>VLOOKUP(9904,季財報!A:H,3)</f>
        <v>0</v>
      </c>
      <c r="D387" s="18">
        <f>VLOOKUP(9904,季財報!A:H,4)</f>
        <v>1</v>
      </c>
      <c r="E387" s="18">
        <f>VLOOKUP(9904,季財報!A:H,5)</f>
        <v>0</v>
      </c>
      <c r="F387" s="18">
        <f>VLOOKUP(9904,季財報!A:H,6)</f>
        <v>1</v>
      </c>
      <c r="G387" s="18">
        <f>VLOOKUP(9904,季財報!A:H,7)</f>
        <v>1</v>
      </c>
      <c r="N387" s="20">
        <f t="shared" si="5"/>
        <v>3</v>
      </c>
    </row>
    <row r="388" spans="1:14">
      <c r="A388" s="307" t="str">
        <f>HYPERLINK("http://www.wantgoo.com/stock/chart.aspx?stockno=2455","2455")</f>
        <v>2455</v>
      </c>
      <c r="C388" s="18">
        <f>VLOOKUP(2455,季財報!A:H,3)</f>
        <v>0</v>
      </c>
      <c r="D388" s="18">
        <f>VLOOKUP(2455,季財報!A:H,4)</f>
        <v>1</v>
      </c>
      <c r="E388" s="18">
        <f>VLOOKUP(2455,季財報!A:H,5)</f>
        <v>0</v>
      </c>
      <c r="F388" s="18">
        <f>VLOOKUP(2455,季財報!A:H,6)</f>
        <v>1</v>
      </c>
      <c r="G388" s="18">
        <f>VLOOKUP(2455,季財報!A:H,7)</f>
        <v>0</v>
      </c>
      <c r="N388" s="20">
        <f t="shared" ref="N388:N451" si="6">SUM(C388:M388)</f>
        <v>2</v>
      </c>
    </row>
    <row r="389" spans="1:14">
      <c r="A389" s="308" t="str">
        <f>HYPERLINK("http://www.wantgoo.com/stock/chart.aspx?stockno=3023","3023")</f>
        <v>3023</v>
      </c>
      <c r="C389" s="18">
        <f>VLOOKUP(3023,季財報!A:H,3)</f>
        <v>1</v>
      </c>
      <c r="D389" s="18">
        <f>VLOOKUP(3023,季財報!A:H,4)</f>
        <v>1</v>
      </c>
      <c r="E389" s="18">
        <f>VLOOKUP(3023,季財報!A:H,5)</f>
        <v>0</v>
      </c>
      <c r="F389" s="18">
        <f>VLOOKUP(3023,季財報!A:H,6)</f>
        <v>1</v>
      </c>
      <c r="G389" s="18">
        <f>VLOOKUP(3023,季財報!A:H,7)</f>
        <v>0</v>
      </c>
      <c r="N389" s="20">
        <f t="shared" si="6"/>
        <v>3</v>
      </c>
    </row>
    <row r="390" spans="1:14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4">
      <c r="A391" s="308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 t="shared" si="6"/>
        <v>3</v>
      </c>
    </row>
    <row r="392" spans="1:14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4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4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4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4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4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4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4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4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4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4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4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4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4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4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4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4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4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4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4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4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4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4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4">
      <c r="A415" s="307" t="str">
        <f>HYPERLINK("http://www.wantgoo.com/stock/chart.aspx?stockno=4426","4426")</f>
        <v>4426</v>
      </c>
      <c r="C415" s="18">
        <f>VLOOKUP(4426,季財報!A:H,3)</f>
        <v>1</v>
      </c>
      <c r="D415" s="18">
        <f>VLOOKUP(4426,季財報!A:H,4)</f>
        <v>1</v>
      </c>
      <c r="E415" s="18">
        <f>VLOOKUP(4426,季財報!A:H,5)</f>
        <v>0</v>
      </c>
      <c r="F415" s="18">
        <f>VLOOKUP(4426,季財報!A:H,6)</f>
        <v>1</v>
      </c>
      <c r="G415" s="18">
        <f>VLOOKUP(4426,季財報!A:H,7)</f>
        <v>1</v>
      </c>
      <c r="N415" s="20">
        <f t="shared" si="6"/>
        <v>4</v>
      </c>
    </row>
    <row r="416" spans="1:14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4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4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4">
      <c r="A419" s="308" t="str">
        <f>HYPERLINK("http://www.wantgoo.com/stock/chart.aspx?stockno=2228","2228")</f>
        <v>2228</v>
      </c>
      <c r="C419" s="18">
        <f>VLOOKUP(2228,季財報!A:H,3)</f>
        <v>1</v>
      </c>
      <c r="D419" s="18">
        <f>VLOOKUP(2228,季財報!A:H,4)</f>
        <v>1</v>
      </c>
      <c r="E419" s="18">
        <f>VLOOKUP(2228,季財報!A:H,5)</f>
        <v>1</v>
      </c>
      <c r="F419" s="18">
        <f>VLOOKUP(2228,季財報!A:H,6)</f>
        <v>1</v>
      </c>
      <c r="G419" s="18">
        <f>VLOOKUP(2228,季財報!A:H,7)</f>
        <v>0</v>
      </c>
      <c r="N419" s="20">
        <f t="shared" si="6"/>
        <v>4</v>
      </c>
    </row>
    <row r="420" spans="1:14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4">
      <c r="A421" s="307" t="str">
        <f>HYPERLINK("http://www.wantgoo.com/stock/chart.aspx?stockno=8433","8433")</f>
        <v>8433</v>
      </c>
      <c r="C421" s="18">
        <f>VLOOKUP(8433,季財報!A:H,3)</f>
        <v>1</v>
      </c>
      <c r="D421" s="18">
        <f>VLOOKUP(8433,季財報!A:H,4)</f>
        <v>1</v>
      </c>
      <c r="E421" s="18">
        <f>VLOOKUP(8433,季財報!A:H,5)</f>
        <v>0</v>
      </c>
      <c r="F421" s="18">
        <f>VLOOKUP(8433,季財報!A:H,6)</f>
        <v>1</v>
      </c>
      <c r="G421" s="18">
        <f>VLOOKUP(8433,季財報!A:H,7)</f>
        <v>1</v>
      </c>
      <c r="N421" s="20">
        <f t="shared" si="6"/>
        <v>4</v>
      </c>
    </row>
    <row r="422" spans="1:14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4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4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4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4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4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4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4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4">
      <c r="A430" s="308" t="str">
        <f>HYPERLINK("http://www.wantgoo.com/stock/chart.aspx?stockno=1565","1565")</f>
        <v>1565</v>
      </c>
      <c r="C430" s="18">
        <f>VLOOKUP(1565,季財報!A:H,3)</f>
        <v>1</v>
      </c>
      <c r="D430" s="18">
        <f>VLOOKUP(1565,季財報!A:H,4)</f>
        <v>1</v>
      </c>
      <c r="E430" s="18">
        <f>VLOOKUP(1565,季財報!A:H,5)</f>
        <v>2</v>
      </c>
      <c r="F430" s="18">
        <f>VLOOKUP(1565,季財報!A:H,6)</f>
        <v>1</v>
      </c>
      <c r="G430" s="18">
        <f>VLOOKUP(1565,季財報!A:H,7)</f>
        <v>0</v>
      </c>
      <c r="N430" s="20">
        <f t="shared" si="6"/>
        <v>5</v>
      </c>
    </row>
    <row r="431" spans="1:14">
      <c r="A431" s="307" t="str">
        <f>HYPERLINK("http://www.wantgoo.com/stock/chart.aspx?stockno=1477","1477")</f>
        <v>1477</v>
      </c>
      <c r="C431" s="18">
        <f>VLOOKUP(1477,季財報!A:H,3)</f>
        <v>0</v>
      </c>
      <c r="D431" s="18">
        <f>VLOOKUP(1477,季財報!A:H,4)</f>
        <v>1</v>
      </c>
      <c r="E431" s="18">
        <f>VLOOKUP(1477,季財報!A:H,5)</f>
        <v>2</v>
      </c>
      <c r="F431" s="18">
        <f>VLOOKUP(1477,季財報!A:H,6)</f>
        <v>1</v>
      </c>
      <c r="G431" s="18">
        <f>VLOOKUP(1477,季財報!A:H,7)</f>
        <v>0</v>
      </c>
      <c r="N431" s="20">
        <f t="shared" si="6"/>
        <v>4</v>
      </c>
    </row>
    <row r="432" spans="1:14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4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4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4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4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4">
      <c r="A437" s="307" t="str">
        <f>HYPERLINK("http://www.wantgoo.com/stock/chart.aspx?stockno=3152","3152")</f>
        <v>3152</v>
      </c>
      <c r="C437" s="18">
        <f>VLOOKUP(3152,季財報!A:H,3)</f>
        <v>1</v>
      </c>
      <c r="D437" s="18">
        <f>VLOOKUP(3152,季財報!A:H,4)</f>
        <v>1</v>
      </c>
      <c r="E437" s="18">
        <f>VLOOKUP(3152,季財報!A:H,5)</f>
        <v>1</v>
      </c>
      <c r="F437" s="18">
        <f>VLOOKUP(3152,季財報!A:H,6)</f>
        <v>1</v>
      </c>
      <c r="G437" s="18">
        <f>VLOOKUP(3152,季財報!A:H,7)</f>
        <v>1</v>
      </c>
      <c r="N437" s="20">
        <f t="shared" si="6"/>
        <v>5</v>
      </c>
    </row>
    <row r="438" spans="1:14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4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4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4">
      <c r="A441" s="308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 t="shared" si="6"/>
        <v>4</v>
      </c>
    </row>
    <row r="442" spans="1:14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4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4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4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4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4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4">
      <c r="A448" s="308" t="str">
        <f>HYPERLINK("http://www.wantgoo.com/stock/chart.aspx?stockno=3479","3479")</f>
        <v>3479</v>
      </c>
      <c r="C448" s="18">
        <f>VLOOKUP(3479,季財報!A:H,3)</f>
        <v>1</v>
      </c>
      <c r="D448" s="18">
        <f>VLOOKUP(3479,季財報!A:H,4)</f>
        <v>1</v>
      </c>
      <c r="E448" s="18">
        <f>VLOOKUP(3479,季財報!A:H,5)</f>
        <v>2</v>
      </c>
      <c r="F448" s="18">
        <f>VLOOKUP(3479,季財報!A:H,6)</f>
        <v>1</v>
      </c>
      <c r="G448" s="18">
        <f>VLOOKUP(3479,季財報!A:H,7)</f>
        <v>1</v>
      </c>
      <c r="N448" s="20">
        <f t="shared" si="6"/>
        <v>6</v>
      </c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>
      <c r="A451" s="307" t="str">
        <f>HYPERLINK("http://www.wantgoo.com/stock/chart.aspx?stockno=1707","1707")</f>
        <v>1707</v>
      </c>
      <c r="C451" s="18">
        <f>VLOOKUP(1707,季財報!A:H,3)</f>
        <v>0</v>
      </c>
      <c r="D451" s="18">
        <f>VLOOKUP(1707,季財報!A:H,4)</f>
        <v>1</v>
      </c>
      <c r="E451" s="18">
        <f>VLOOKUP(1707,季財報!A:H,5)</f>
        <v>0</v>
      </c>
      <c r="F451" s="18">
        <f>VLOOKUP(1707,季財報!A:H,6)</f>
        <v>0</v>
      </c>
      <c r="G451" s="18">
        <f>VLOOKUP(1707,季財報!A:H,7)</f>
        <v>1</v>
      </c>
      <c r="N451" s="20">
        <f t="shared" si="6"/>
        <v>2</v>
      </c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>
      <c r="A454" s="308" t="str">
        <f>HYPERLINK("http://www.wantgoo.com/stock/chart.aspx?stockno=3665","3665")</f>
        <v>3665</v>
      </c>
      <c r="C454" s="18">
        <f>VLOOKUP(3665,季財報!A:H,3)</f>
        <v>1</v>
      </c>
      <c r="D454" s="18">
        <f>VLOOKUP(3665,季財報!A:H,4)</f>
        <v>1</v>
      </c>
      <c r="E454" s="18">
        <f>VLOOKUP(3665,季財報!A:H,5)</f>
        <v>0</v>
      </c>
      <c r="F454" s="18">
        <f>VLOOKUP(3665,季財報!A:H,6)</f>
        <v>1</v>
      </c>
      <c r="G454" s="18">
        <f>VLOOKUP(3665,季財報!A:H,7)</f>
        <v>0</v>
      </c>
      <c r="N454" s="20">
        <f t="shared" si="7"/>
        <v>3</v>
      </c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4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4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4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4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4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4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4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4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4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4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4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4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4">
      <c r="A477" s="308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 t="shared" si="7"/>
        <v>1</v>
      </c>
    </row>
    <row r="478" spans="1:14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4">
      <c r="A479" s="308" t="str">
        <f>HYPERLINK("http://www.wantgoo.com/stock/chart.aspx?stockno=1788","1788")</f>
        <v>1788</v>
      </c>
      <c r="C479" s="18">
        <f>VLOOKUP(1788,季財報!A:H,3)</f>
        <v>0</v>
      </c>
      <c r="D479" s="18">
        <f>VLOOKUP(1788,季財報!A:H,4)</f>
        <v>0</v>
      </c>
      <c r="E479" s="18">
        <f>VLOOKUP(1788,季財報!A:H,5)</f>
        <v>0</v>
      </c>
      <c r="F479" s="18">
        <f>VLOOKUP(1788,季財報!A:H,6)</f>
        <v>1</v>
      </c>
      <c r="G479" s="18">
        <f>VLOOKUP(1788,季財報!A:H,7)</f>
        <v>0</v>
      </c>
      <c r="N479" s="20">
        <f t="shared" si="7"/>
        <v>1</v>
      </c>
    </row>
    <row r="480" spans="1:14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4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4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4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4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4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4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4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4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4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4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4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4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4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4">
      <c r="A494" s="307" t="str">
        <f>HYPERLINK("http://www.wantgoo.com/stock/chart.aspx?stockno=1227","1227")</f>
        <v>1227</v>
      </c>
      <c r="C494" s="18">
        <f>VLOOKUP(1227,季財報!A:H,3)</f>
        <v>0</v>
      </c>
      <c r="D494" s="18">
        <f>VLOOKUP(1227,季財報!A:H,4)</f>
        <v>1</v>
      </c>
      <c r="E494" s="18">
        <f>VLOOKUP(1227,季財報!A:H,5)</f>
        <v>2</v>
      </c>
      <c r="F494" s="18">
        <f>VLOOKUP(1227,季財報!A:H,6)</f>
        <v>1</v>
      </c>
      <c r="G494" s="18">
        <f>VLOOKUP(1227,季財報!A:H,7)</f>
        <v>0</v>
      </c>
      <c r="N494" s="20">
        <f t="shared" si="7"/>
        <v>4</v>
      </c>
    </row>
    <row r="495" spans="1:14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4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4">
      <c r="A497" s="308" t="str">
        <f>HYPERLINK("http://www.wantgoo.com/stock/chart.aspx?stockno=6238","6238")</f>
        <v>6238</v>
      </c>
      <c r="C497" s="18">
        <f>VLOOKUP(6238,季財報!A:H,3)</f>
        <v>1</v>
      </c>
      <c r="D497" s="18">
        <f>VLOOKUP(6238,季財報!A:H,4)</f>
        <v>1</v>
      </c>
      <c r="E497" s="18">
        <f>VLOOKUP(6238,季財報!A:H,5)</f>
        <v>1</v>
      </c>
      <c r="F497" s="18">
        <f>VLOOKUP(6238,季財報!A:H,6)</f>
        <v>1</v>
      </c>
      <c r="G497" s="18">
        <f>VLOOKUP(6238,季財報!A:H,7)</f>
        <v>0</v>
      </c>
      <c r="N497" s="20">
        <f t="shared" si="7"/>
        <v>4</v>
      </c>
    </row>
    <row r="498" spans="1:14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4">
      <c r="A499" s="308" t="str">
        <f>HYPERLINK("http://www.wantgoo.com/stock/chart.aspx?stockno=1476","1476")</f>
        <v>1476</v>
      </c>
      <c r="C499" s="18">
        <f>VLOOKUP(1476,季財報!A:H,3)</f>
        <v>1</v>
      </c>
      <c r="D499" s="18">
        <f>VLOOKUP(1476,季財報!A:H,4)</f>
        <v>1</v>
      </c>
      <c r="E499" s="18">
        <f>VLOOKUP(1476,季財報!A:H,5)</f>
        <v>0</v>
      </c>
      <c r="F499" s="18">
        <f>VLOOKUP(1476,季財報!A:H,6)</f>
        <v>1</v>
      </c>
      <c r="G499" s="18">
        <f>VLOOKUP(1476,季財報!A:H,7)</f>
        <v>0</v>
      </c>
      <c r="N499" s="20">
        <f t="shared" si="7"/>
        <v>3</v>
      </c>
    </row>
    <row r="500" spans="1:14">
      <c r="A500" s="307" t="str">
        <f>HYPERLINK("http://www.wantgoo.com/stock/chart.aspx?stockno=3045","3045")</f>
        <v>3045</v>
      </c>
      <c r="C500" s="18">
        <f>VLOOKUP(3045,季財報!A:H,3)</f>
        <v>1</v>
      </c>
      <c r="D500" s="18">
        <f>VLOOKUP(3045,季財報!A:H,4)</f>
        <v>1</v>
      </c>
      <c r="E500" s="18">
        <f>VLOOKUP(3045,季財報!A:H,5)</f>
        <v>1</v>
      </c>
      <c r="F500" s="18">
        <f>VLOOKUP(3045,季財報!A:H,6)</f>
        <v>1</v>
      </c>
      <c r="G500" s="18">
        <f>VLOOKUP(3045,季財報!A:H,7)</f>
        <v>0</v>
      </c>
      <c r="N500" s="20">
        <f t="shared" si="7"/>
        <v>4</v>
      </c>
    </row>
    <row r="501" spans="1:14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4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4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4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4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4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4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4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4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4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4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4">
      <c r="A512" s="308" t="str">
        <f>HYPERLINK("http://www.wantgoo.com/stock/chart.aspx?stockno=2729","2729")</f>
        <v>2729</v>
      </c>
      <c r="C512" s="18">
        <f>VLOOKUP(2729,季財報!A:H,3)</f>
        <v>0</v>
      </c>
      <c r="D512" s="18">
        <f>VLOOKUP(2729,季財報!A:H,4)</f>
        <v>0</v>
      </c>
      <c r="E512" s="18">
        <f>VLOOKUP(2729,季財報!A:H,5)</f>
        <v>1</v>
      </c>
      <c r="F512" s="18">
        <f>VLOOKUP(2729,季財報!A:H,6)</f>
        <v>1</v>
      </c>
      <c r="G512" s="18">
        <f>VLOOKUP(2729,季財報!A:H,7)</f>
        <v>0</v>
      </c>
      <c r="N512" s="20">
        <f t="shared" si="7"/>
        <v>2</v>
      </c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4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4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4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4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4">
      <c r="A549" s="307" t="str">
        <f>HYPERLINK("http://www.wantgoo.com/stock/chart.aspx?stockno=2395","2395")</f>
        <v>2395</v>
      </c>
      <c r="C549" s="18">
        <f>VLOOKUP(2395,季財報!A:H,3)</f>
        <v>0</v>
      </c>
      <c r="D549" s="18">
        <f>VLOOKUP(2395,季財報!A:H,4)</f>
        <v>0</v>
      </c>
      <c r="E549" s="18">
        <f>VLOOKUP(2395,季財報!A:H,5)</f>
        <v>0</v>
      </c>
      <c r="F549" s="18">
        <f>VLOOKUP(2395,季財報!A:H,6)</f>
        <v>1</v>
      </c>
      <c r="G549" s="18">
        <f>VLOOKUP(2395,季財報!A:H,7)</f>
        <v>0</v>
      </c>
      <c r="N549" s="20">
        <f t="shared" si="8"/>
        <v>1</v>
      </c>
    </row>
    <row r="550" spans="1:14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4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4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4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4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4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4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4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4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4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4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>
      <c r="A573" s="307" t="str">
        <f>HYPERLINK("http://www.wantgoo.com/stock/chart.aspx?stockno=3289","3289")</f>
        <v>3289</v>
      </c>
      <c r="C573" s="18">
        <f>VLOOKUP(3289,季財報!A:H,3)</f>
        <v>0</v>
      </c>
      <c r="D573" s="18">
        <f>VLOOKUP(3289,季財報!A:H,4)</f>
        <v>1</v>
      </c>
      <c r="E573" s="18">
        <f>VLOOKUP(3289,季財報!A:H,5)</f>
        <v>1</v>
      </c>
      <c r="F573" s="18">
        <f>VLOOKUP(3289,季財報!A:H,6)</f>
        <v>1</v>
      </c>
      <c r="G573" s="18">
        <f>VLOOKUP(3289,季財報!A:H,7)</f>
        <v>1</v>
      </c>
      <c r="N573" s="20">
        <f t="shared" si="8"/>
        <v>4</v>
      </c>
    </row>
    <row r="574" spans="1:19">
      <c r="A574" s="307" t="str">
        <f>HYPERLINK("http://www.wantgoo.com/stock/chart.aspx?stockno=6239","6239")</f>
        <v>6239</v>
      </c>
      <c r="C574" s="18">
        <f>VLOOKUP(6239,季財報!A:H,3)</f>
        <v>1</v>
      </c>
      <c r="D574" s="18">
        <f>VLOOKUP(6239,季財報!A:H,4)</f>
        <v>1</v>
      </c>
      <c r="E574" s="18">
        <f>VLOOKUP(6239,季財報!A:H,5)</f>
        <v>1</v>
      </c>
      <c r="F574" s="18">
        <f>VLOOKUP(6239,季財報!A:H,6)</f>
        <v>1</v>
      </c>
      <c r="G574" s="18">
        <f>VLOOKUP(6239,季財報!A:H,7)</f>
        <v>0</v>
      </c>
      <c r="N574" s="20">
        <f t="shared" si="8"/>
        <v>4</v>
      </c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4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4">
      <c r="A578" s="307" t="str">
        <f>HYPERLINK("http://www.wantgoo.com/stock/chart.aspx?stockno=9921","9921")</f>
        <v>9921</v>
      </c>
      <c r="C578" s="18">
        <f>VLOOKUP(9921,季財報!A:H,3)</f>
        <v>1</v>
      </c>
      <c r="D578" s="18">
        <f>VLOOKUP(9921,季財報!A:H,4)</f>
        <v>1</v>
      </c>
      <c r="E578" s="18">
        <f>VLOOKUP(9921,季財報!A:H,5)</f>
        <v>0</v>
      </c>
      <c r="F578" s="18">
        <f>VLOOKUP(9921,季財報!A:H,6)</f>
        <v>1</v>
      </c>
      <c r="G578" s="18">
        <f>VLOOKUP(9921,季財報!A:H,7)</f>
        <v>0</v>
      </c>
      <c r="N578" s="20">
        <f t="shared" si="8"/>
        <v>3</v>
      </c>
    </row>
    <row r="579" spans="1:14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4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4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4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4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4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4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4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4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4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4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4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4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4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4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4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4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4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4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4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4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4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4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4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4">
      <c r="A603" s="307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 t="shared" si="9"/>
        <v>3</v>
      </c>
    </row>
    <row r="604" spans="1:14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4">
      <c r="A605" s="307" t="str">
        <f>HYPERLINK("http://www.wantgoo.com/stock/chart.aspx?stockno=2345","2345")</f>
        <v>2345</v>
      </c>
      <c r="C605" s="18">
        <f>VLOOKUP(2345,季財報!A:H,3)</f>
        <v>1</v>
      </c>
      <c r="D605" s="18">
        <f>VLOOKUP(2345,季財報!A:H,4)</f>
        <v>1</v>
      </c>
      <c r="E605" s="18">
        <f>VLOOKUP(2345,季財報!A:H,5)</f>
        <v>1</v>
      </c>
      <c r="F605" s="18">
        <f>VLOOKUP(2345,季財報!A:H,6)</f>
        <v>1</v>
      </c>
      <c r="G605" s="18">
        <f>VLOOKUP(2345,季財報!A:H,7)</f>
        <v>0</v>
      </c>
      <c r="N605" s="20">
        <f t="shared" si="9"/>
        <v>4</v>
      </c>
    </row>
    <row r="606" spans="1:14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4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4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4">
      <c r="A625" s="307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 t="shared" si="9"/>
        <v>4</v>
      </c>
    </row>
    <row r="626" spans="1:14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4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4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4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4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4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4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4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4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4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4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4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4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4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4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4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4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4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4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4">
      <c r="A693" s="307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 t="shared" si="10"/>
        <v>6</v>
      </c>
    </row>
    <row r="694" spans="1:14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4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4">
      <c r="A696" s="308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 t="shared" si="10"/>
        <v>4</v>
      </c>
    </row>
    <row r="697" spans="1:14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4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4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4">
      <c r="A700" s="307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 t="shared" si="10"/>
        <v>4</v>
      </c>
    </row>
    <row r="701" spans="1:14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4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4">
      <c r="A703" s="308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 t="shared" si="10"/>
        <v>4</v>
      </c>
    </row>
    <row r="704" spans="1:14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4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4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4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4">
      <c r="A708" s="307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 t="shared" ref="N708:N737" si="11">SUM(C708:M708)</f>
        <v>4</v>
      </c>
    </row>
    <row r="709" spans="1:14">
      <c r="A709" s="308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 t="shared" si="11"/>
        <v>5</v>
      </c>
    </row>
    <row r="710" spans="1:14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4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4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4">
      <c r="A713" s="308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 t="shared" si="11"/>
        <v>5</v>
      </c>
    </row>
    <row r="714" spans="1:14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4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4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4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4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4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4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71" r:id="rId3" name="CommandButton16"/>
    <control shapeId="2070" r:id="rId4" name="CommandButton15"/>
    <control shapeId="2069" r:id="rId5" name="CommandButton14"/>
    <control shapeId="2068" r:id="rId6" name="CommandButton13"/>
    <control shapeId="2062" r:id="rId7" name="CommandButton9"/>
    <control shapeId="2059" r:id="rId8" name="CommandButton7"/>
    <control shapeId="2053" r:id="rId9" name="CommandButton6"/>
    <control shapeId="2052" r:id="rId10" name="CommandButton5"/>
    <control shapeId="2051" r:id="rId11" name="CommandButton4"/>
    <control shapeId="2050" r:id="rId12" name="CommandButton3"/>
    <control shapeId="2049" r:id="rId13" name="CommandButton2"/>
    <control shapeId="2057" r:id="rId14" name="CommandButton1"/>
    <control shapeId="2063" r:id="rId15" name="CommandButton8"/>
    <control shapeId="2064" r:id="rId16" name="CommandButton10"/>
    <control shapeId="2065" r:id="rId17" name="CommandButton11"/>
    <control shapeId="2067" r:id="rId18" name="CommandButton1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1979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2028</v>
      </c>
      <c r="C2" s="32" t="s">
        <v>2027</v>
      </c>
      <c r="D2" s="32" t="s">
        <v>1980</v>
      </c>
      <c r="E2" s="32" t="s">
        <v>1981</v>
      </c>
      <c r="F2" s="32" t="s">
        <v>1982</v>
      </c>
      <c r="G2" s="32" t="s">
        <v>1983</v>
      </c>
      <c r="H2" s="32" t="s">
        <v>2027</v>
      </c>
      <c r="I2" s="32" t="s">
        <v>1980</v>
      </c>
      <c r="J2" s="32" t="s">
        <v>1981</v>
      </c>
      <c r="K2" s="32" t="s">
        <v>1982</v>
      </c>
      <c r="L2" s="32" t="s">
        <v>1983</v>
      </c>
      <c r="M2" s="32" t="s">
        <v>2027</v>
      </c>
      <c r="N2" s="32" t="s">
        <v>1980</v>
      </c>
      <c r="O2" s="32" t="s">
        <v>1981</v>
      </c>
      <c r="P2" s="32" t="s">
        <v>1982</v>
      </c>
      <c r="Q2" s="32" t="s">
        <v>1983</v>
      </c>
    </row>
    <row r="3" spans="1:28">
      <c r="A3" s="31">
        <v>1103</v>
      </c>
      <c r="B3" s="305" t="s">
        <v>2029</v>
      </c>
      <c r="C3" s="32">
        <v>1</v>
      </c>
      <c r="D3" s="32" t="s">
        <v>1984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1984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1984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2030</v>
      </c>
      <c r="C4" s="32">
        <v>2</v>
      </c>
      <c r="D4" s="32" t="s">
        <v>1985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1985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1985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2031</v>
      </c>
      <c r="C5" s="32">
        <v>3</v>
      </c>
      <c r="D5" s="32" t="s">
        <v>1986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1986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1986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2032</v>
      </c>
      <c r="C6" s="32">
        <v>4</v>
      </c>
      <c r="D6" s="32" t="s">
        <v>1987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1987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1987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2033</v>
      </c>
      <c r="C7" s="32">
        <v>5</v>
      </c>
      <c r="D7" s="32" t="s">
        <v>1988</v>
      </c>
      <c r="E7" s="32">
        <v>118</v>
      </c>
      <c r="F7" s="154">
        <v>2125269</v>
      </c>
      <c r="G7" s="32">
        <v>2.35</v>
      </c>
      <c r="H7" s="32">
        <v>5</v>
      </c>
      <c r="I7" s="32" t="s">
        <v>1988</v>
      </c>
      <c r="J7" s="32">
        <v>118</v>
      </c>
      <c r="K7" s="154">
        <v>2127887</v>
      </c>
      <c r="L7" s="32">
        <v>2.35</v>
      </c>
      <c r="M7" s="32">
        <v>5</v>
      </c>
      <c r="N7" s="32" t="s">
        <v>1988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2034</v>
      </c>
      <c r="C8" s="32">
        <v>6</v>
      </c>
      <c r="D8" s="32" t="s">
        <v>1989</v>
      </c>
      <c r="E8" s="32">
        <v>139</v>
      </c>
      <c r="F8" s="154">
        <v>3414911</v>
      </c>
      <c r="G8" s="32">
        <v>3.78</v>
      </c>
      <c r="H8" s="32">
        <v>6</v>
      </c>
      <c r="I8" s="32" t="s">
        <v>1989</v>
      </c>
      <c r="J8" s="32">
        <v>137</v>
      </c>
      <c r="K8" s="154">
        <v>3359811</v>
      </c>
      <c r="L8" s="32">
        <v>3.72</v>
      </c>
      <c r="M8" s="32">
        <v>6</v>
      </c>
      <c r="N8" s="32" t="s">
        <v>1989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2035</v>
      </c>
      <c r="C9" s="32">
        <v>7</v>
      </c>
      <c r="D9" s="32" t="s">
        <v>1990</v>
      </c>
      <c r="E9" s="32">
        <v>59</v>
      </c>
      <c r="F9" s="154">
        <v>2092232</v>
      </c>
      <c r="G9" s="32">
        <v>2.31</v>
      </c>
      <c r="H9" s="32">
        <v>7</v>
      </c>
      <c r="I9" s="32" t="s">
        <v>1990</v>
      </c>
      <c r="J9" s="32">
        <v>58</v>
      </c>
      <c r="K9" s="154">
        <v>2054232</v>
      </c>
      <c r="L9" s="32">
        <v>2.27</v>
      </c>
      <c r="M9" s="32">
        <v>7</v>
      </c>
      <c r="N9" s="32" t="s">
        <v>1990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2036</v>
      </c>
      <c r="C10" s="32">
        <v>8</v>
      </c>
      <c r="D10" s="32" t="s">
        <v>1991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1991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1991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2037</v>
      </c>
      <c r="C11" s="32">
        <v>9</v>
      </c>
      <c r="D11" s="32" t="s">
        <v>1992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1992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1992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2038</v>
      </c>
      <c r="C12" s="32">
        <v>10</v>
      </c>
      <c r="D12" s="32" t="s">
        <v>1993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1993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1993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2039</v>
      </c>
      <c r="C13" s="32">
        <v>11</v>
      </c>
      <c r="D13" s="32" t="s">
        <v>1994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1994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1994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2040</v>
      </c>
      <c r="C14" s="32">
        <v>12</v>
      </c>
      <c r="D14" s="32" t="s">
        <v>1995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1995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1995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2041</v>
      </c>
      <c r="C15" s="32">
        <v>13</v>
      </c>
      <c r="D15" s="32" t="s">
        <v>1996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1996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1996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2042</v>
      </c>
      <c r="C16" s="32">
        <v>14</v>
      </c>
      <c r="D16" s="32" t="s">
        <v>1997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1997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1997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2043</v>
      </c>
      <c r="C17" s="32">
        <v>15</v>
      </c>
      <c r="D17" s="32" t="s">
        <v>1998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1998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1998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2044</v>
      </c>
      <c r="C18" s="32"/>
      <c r="D18" s="32" t="s">
        <v>1999</v>
      </c>
      <c r="E18" s="154">
        <v>4571</v>
      </c>
      <c r="F18" s="154">
        <v>90220260</v>
      </c>
      <c r="G18" s="32">
        <v>100</v>
      </c>
      <c r="H18" s="32"/>
      <c r="I18" s="32" t="s">
        <v>1999</v>
      </c>
      <c r="J18" s="154">
        <v>4562</v>
      </c>
      <c r="K18" s="154">
        <v>90220260</v>
      </c>
      <c r="L18" s="32">
        <v>100</v>
      </c>
      <c r="M18" s="32"/>
      <c r="N18" s="32" t="s">
        <v>1999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2045</v>
      </c>
      <c r="C19" s="32"/>
      <c r="D19" s="32" t="s">
        <v>1999</v>
      </c>
      <c r="E19" s="154">
        <v>5475</v>
      </c>
      <c r="F19" s="154">
        <v>61350880</v>
      </c>
      <c r="G19" s="32">
        <v>100</v>
      </c>
      <c r="H19" s="32"/>
      <c r="I19" s="32" t="s">
        <v>1999</v>
      </c>
      <c r="J19" s="154">
        <v>1487</v>
      </c>
      <c r="K19" s="154">
        <v>52577600</v>
      </c>
      <c r="L19" s="32">
        <v>100</v>
      </c>
      <c r="M19" s="32"/>
      <c r="N19" s="32" t="s">
        <v>1999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113" r:id="rId27" name="CommandButton17"/>
    <control shapeId="4112" r:id="rId28" name="CommandButton16"/>
    <control shapeId="4111" r:id="rId29" name="CommandButton15"/>
    <control shapeId="4110" r:id="rId30" name="CommandButton14"/>
    <control shapeId="4109" r:id="rId31" name="CommandButton1"/>
    <control shapeId="4108" r:id="rId32" name="CommandButton13"/>
    <control shapeId="4107" r:id="rId33" name="CommandButton12"/>
    <control shapeId="4106" r:id="rId34" name="CommandButton11"/>
    <control shapeId="4105" r:id="rId35" name="CommandButton10"/>
    <control shapeId="4099" r:id="rId36" name="CommandButton4"/>
    <control shapeId="4098" r:id="rId37" name="CommandButton3"/>
    <control shapeId="4097" r:id="rId38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76" t="s">
        <v>1867</v>
      </c>
      <c r="S1" s="377"/>
      <c r="T1" s="377"/>
      <c r="U1" s="377"/>
      <c r="V1" s="378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75" t="s">
        <v>204</v>
      </c>
      <c r="C3" s="375"/>
      <c r="D3" s="375"/>
      <c r="E3" s="375"/>
      <c r="F3" s="375"/>
      <c r="G3" s="375"/>
      <c r="H3" s="375"/>
      <c r="I3" s="43"/>
      <c r="J3" s="375" t="s">
        <v>205</v>
      </c>
      <c r="K3" s="375"/>
      <c r="L3" s="375"/>
      <c r="M3" s="375"/>
      <c r="N3" s="375"/>
      <c r="O3" s="375"/>
      <c r="P3" s="375"/>
      <c r="R3" s="381" t="s">
        <v>1872</v>
      </c>
      <c r="S3" s="352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79"/>
      <c r="T7" s="379"/>
      <c r="U7" s="379"/>
      <c r="V7" s="380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75" t="s">
        <v>1869</v>
      </c>
      <c r="C14" s="375"/>
      <c r="D14" s="375"/>
      <c r="E14" s="375"/>
      <c r="F14" s="375"/>
      <c r="G14" s="375"/>
      <c r="H14" s="375"/>
      <c r="I14" s="43"/>
      <c r="J14" s="375" t="s">
        <v>206</v>
      </c>
      <c r="K14" s="375"/>
      <c r="L14" s="375"/>
      <c r="M14" s="375"/>
      <c r="N14" s="375"/>
      <c r="O14" s="375"/>
      <c r="P14" s="375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75" t="s">
        <v>1868</v>
      </c>
      <c r="C25" s="375"/>
      <c r="D25" s="375"/>
      <c r="E25" s="375"/>
      <c r="F25" s="375"/>
      <c r="G25" s="375"/>
      <c r="H25" s="375"/>
      <c r="I25" s="43"/>
      <c r="J25" s="375" t="s">
        <v>1871</v>
      </c>
      <c r="K25" s="375"/>
      <c r="L25" s="375"/>
      <c r="M25" s="375"/>
      <c r="N25" s="375"/>
      <c r="O25" s="375"/>
      <c r="P25" s="375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78" r:id="rId4" name="CommandButton7"/>
    <control shapeId="7176" r:id="rId5" name="CommandButton5"/>
    <control shapeId="7175" r:id="rId6" name="CommandButton4"/>
    <control shapeId="7174" r:id="rId7" name="CommandButton3"/>
    <control shapeId="7173" r:id="rId8" name="CommandButton2"/>
    <control shapeId="7172" r:id="rId9" name="CommandButton1"/>
    <control shapeId="7171" r:id="rId10" name="ComboBox3"/>
    <control shapeId="7170" r:id="rId11" name="ComboBox2"/>
    <control shapeId="7169" r:id="rId12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2003</v>
      </c>
      <c r="B1" s="48" t="s">
        <v>2054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2008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2046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2047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2047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2046</v>
      </c>
    </row>
    <row r="6" spans="1:11" customFormat="1" hidden="1">
      <c r="A6">
        <v>8255</v>
      </c>
      <c r="B6" t="s">
        <v>2005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2046</v>
      </c>
    </row>
    <row r="7" spans="1:11" customFormat="1" hidden="1">
      <c r="A7">
        <v>8109</v>
      </c>
      <c r="B7" t="s">
        <v>2023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2046</v>
      </c>
    </row>
    <row r="8" spans="1:11" customFormat="1" hidden="1">
      <c r="A8">
        <v>8099</v>
      </c>
      <c r="B8" t="s">
        <v>2024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2046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2047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2046</v>
      </c>
    </row>
    <row r="11" spans="1:11" customFormat="1" hidden="1">
      <c r="A11">
        <v>8059</v>
      </c>
      <c r="B11" t="s">
        <v>2018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2046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2046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2046</v>
      </c>
    </row>
    <row r="14" spans="1:11" customFormat="1" hidden="1">
      <c r="A14">
        <v>6287</v>
      </c>
      <c r="B14" t="s">
        <v>2012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2046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2046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2046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2047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2046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2046</v>
      </c>
    </row>
    <row r="20" spans="1:11" customFormat="1" hidden="1">
      <c r="A20">
        <v>6204</v>
      </c>
      <c r="B20" t="s">
        <v>2022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2046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2046</v>
      </c>
    </row>
    <row r="22" spans="1:11" customFormat="1" hidden="1">
      <c r="A22">
        <v>6129</v>
      </c>
      <c r="B22" t="s">
        <v>2011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2046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2046</v>
      </c>
    </row>
    <row r="24" spans="1:11" customFormat="1" hidden="1">
      <c r="A24">
        <v>6023</v>
      </c>
      <c r="B24" t="s">
        <v>2049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2046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2047</v>
      </c>
    </row>
    <row r="26" spans="1:11" customFormat="1" hidden="1">
      <c r="A26">
        <v>5601</v>
      </c>
      <c r="B26" t="s">
        <v>2053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2046</v>
      </c>
    </row>
    <row r="27" spans="1:11" customFormat="1" hidden="1">
      <c r="A27">
        <v>5508</v>
      </c>
      <c r="B27" t="s">
        <v>2025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2046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2046</v>
      </c>
    </row>
    <row r="29" spans="1:11" customFormat="1" hidden="1">
      <c r="A29">
        <v>5460</v>
      </c>
      <c r="B29" t="s">
        <v>2021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2046</v>
      </c>
    </row>
    <row r="30" spans="1:11" customFormat="1" hidden="1">
      <c r="A30">
        <v>5432</v>
      </c>
      <c r="B30" t="s">
        <v>2016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2046</v>
      </c>
    </row>
    <row r="31" spans="1:11" customFormat="1" hidden="1">
      <c r="A31">
        <v>5356</v>
      </c>
      <c r="B31" t="s">
        <v>2013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2046</v>
      </c>
    </row>
    <row r="32" spans="1:11" customFormat="1" hidden="1">
      <c r="A32">
        <v>5349</v>
      </c>
      <c r="B32" t="s">
        <v>2020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2046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2046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2047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2046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2047</v>
      </c>
    </row>
    <row r="37" spans="1:11" customFormat="1" hidden="1">
      <c r="A37">
        <v>4972</v>
      </c>
      <c r="B37" t="s">
        <v>2015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2046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2046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2047</v>
      </c>
    </row>
    <row r="40" spans="1:11" customFormat="1" hidden="1">
      <c r="A40">
        <v>4703</v>
      </c>
      <c r="B40" t="s">
        <v>2051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2046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2047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2046</v>
      </c>
    </row>
    <row r="43" spans="1:11" customFormat="1" hidden="1">
      <c r="A43">
        <v>4161</v>
      </c>
      <c r="B43" t="s">
        <v>2007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2046</v>
      </c>
    </row>
    <row r="44" spans="1:11" customFormat="1" hidden="1">
      <c r="A44">
        <v>4147</v>
      </c>
      <c r="B44" t="s">
        <v>2006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2046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2047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2046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2046</v>
      </c>
    </row>
    <row r="48" spans="1:11" customFormat="1" hidden="1">
      <c r="A48" s="305">
        <v>3675</v>
      </c>
      <c r="B48" s="305" t="s">
        <v>2010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2046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2046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2046</v>
      </c>
    </row>
    <row r="51" spans="1:11" customFormat="1" hidden="1">
      <c r="A51">
        <v>3629</v>
      </c>
      <c r="B51" t="s">
        <v>2014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2046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2046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2046</v>
      </c>
    </row>
    <row r="54" spans="1:11" customFormat="1" hidden="1">
      <c r="A54">
        <v>3552</v>
      </c>
      <c r="B54" t="s">
        <v>2048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2046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2047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2046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2046</v>
      </c>
    </row>
    <row r="58" spans="1:11" customFormat="1" hidden="1">
      <c r="A58">
        <v>3293</v>
      </c>
      <c r="B58" t="s">
        <v>2026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2046</v>
      </c>
    </row>
    <row r="59" spans="1:11" customFormat="1" hidden="1">
      <c r="A59">
        <v>3290</v>
      </c>
      <c r="B59" t="s">
        <v>2052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2046</v>
      </c>
    </row>
    <row r="60" spans="1:11" customFormat="1" hidden="1">
      <c r="A60" s="305">
        <v>3260</v>
      </c>
      <c r="B60" s="305" t="s">
        <v>2009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2046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2046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2046</v>
      </c>
    </row>
    <row r="63" spans="1:11" customFormat="1" hidden="1">
      <c r="A63">
        <v>3211</v>
      </c>
      <c r="B63" t="s">
        <v>2050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2046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2047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2046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2046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2046</v>
      </c>
    </row>
    <row r="68" spans="1:11" customFormat="1" hidden="1">
      <c r="A68">
        <v>3081</v>
      </c>
      <c r="B68" t="s">
        <v>2017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2046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2046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2046</v>
      </c>
    </row>
    <row r="71" spans="1:11" customFormat="1" hidden="1">
      <c r="A71">
        <v>1595</v>
      </c>
      <c r="B71" t="s">
        <v>2019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2046</v>
      </c>
    </row>
    <row r="72" spans="1:11" customFormat="1" hidden="1">
      <c r="A72" s="305">
        <v>1586</v>
      </c>
      <c r="B72" s="305" t="s">
        <v>2004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2046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96" r:id="rId3" name="CommandButton6"/>
    <control shapeId="12295" r:id="rId4" name="CommandButton5"/>
    <control shapeId="12293" r:id="rId5" name="CommandButton4"/>
    <control shapeId="12289" r:id="rId6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8" r:id="rId3" name="CommandButton6"/>
    <control shapeId="3085" r:id="rId4" name="CommandButton9"/>
    <control shapeId="3075" r:id="rId5" name="CommandButton3"/>
    <control shapeId="3077" r:id="rId6" name="CommandButton4"/>
    <control shapeId="3079" r:id="rId7" name="CommandButton5"/>
    <control shapeId="3080" r:id="rId8" name="CommandButton1"/>
    <control shapeId="3086" r:id="rId9" name="CommandButton10"/>
    <control shapeId="3087" r:id="rId10" name="CommandButton2"/>
    <control shapeId="3089" r:id="rId11" name="CommandButton7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6" r:id="rId2" name="CommandButton7"/>
    <control shapeId="50184" r:id="rId3" name="CommandButton6"/>
    <control shapeId="50183" r:id="rId4" name="CommandButton5"/>
    <control shapeId="50178" r:id="rId5" name="CommandButton1"/>
    <control shapeId="50179" r:id="rId6" name="CommandButton2"/>
    <control shapeId="50180" r:id="rId7" name="CommandButton3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3" r:id="rId3" name="CommandButton3"/>
    <control shapeId="5122" r:id="rId4" name="CommandButton2"/>
    <control shapeId="5121" r:id="rId5" name="CommandButton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60" r:id="rId3" name="CommandButton2"/>
    <control shapeId="19457" r:id="rId4" name="CommandButton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2016-01-03T16:06:06Z</dcterms:modified>
</cp:coreProperties>
</file>